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220" activeTab="2"/>
  </bookViews>
  <sheets>
    <sheet name="Lognormale" sheetId="1" r:id="rId1"/>
    <sheet name="Pareto" sheetId="2" r:id="rId2"/>
    <sheet name="Gamma" sheetId="3" r:id="rId3"/>
    <sheet name="Rappresentazioni grafiche" sheetId="4" r:id="rId4"/>
  </sheets>
  <definedNames/>
  <calcPr fullCalcOnLoad="1"/>
</workbook>
</file>

<file path=xl/sharedStrings.xml><?xml version="1.0" encoding="utf-8"?>
<sst xmlns="http://schemas.openxmlformats.org/spreadsheetml/2006/main" count="162" uniqueCount="107">
  <si>
    <t xml:space="preserve">estremità superiore </t>
  </si>
  <si>
    <t>della classe</t>
  </si>
  <si>
    <t>x</t>
  </si>
  <si>
    <t>oltre</t>
  </si>
  <si>
    <t>num sinistri</t>
  </si>
  <si>
    <t>n(x)</t>
  </si>
  <si>
    <t>f(x)</t>
  </si>
  <si>
    <t>P(x)</t>
  </si>
  <si>
    <t>z(x)</t>
  </si>
  <si>
    <t>Interpolazione lineare</t>
  </si>
  <si>
    <t>ln(x)</t>
  </si>
  <si>
    <t>a=</t>
  </si>
  <si>
    <t>(ln(x)^2)</t>
  </si>
  <si>
    <t>n=</t>
  </si>
  <si>
    <t>b=</t>
  </si>
  <si>
    <t>z(x)^2</t>
  </si>
  <si>
    <t>Var ln(x)</t>
  </si>
  <si>
    <t>Covarianza</t>
  </si>
  <si>
    <t>r2</t>
  </si>
  <si>
    <t>r=</t>
  </si>
  <si>
    <t>z*(x)</t>
  </si>
  <si>
    <t>P*(x)</t>
  </si>
  <si>
    <t>Var z(x)</t>
  </si>
  <si>
    <t>f*(x)</t>
  </si>
  <si>
    <t>Misura accostamento</t>
  </si>
  <si>
    <t>Interpolazione</t>
  </si>
  <si>
    <t>della variabile entità del costo dei sinistri</t>
  </si>
  <si>
    <t>Distribuzione del numero dei sinistri per importo</t>
  </si>
  <si>
    <t>Classi</t>
  </si>
  <si>
    <t>Valore</t>
  </si>
  <si>
    <t>Numero</t>
  </si>
  <si>
    <t>Frequenza</t>
  </si>
  <si>
    <t>F(x)</t>
  </si>
  <si>
    <t>H(x)</t>
  </si>
  <si>
    <t>estremo</t>
  </si>
  <si>
    <t>centrale (x)</t>
  </si>
  <si>
    <t>sinistri</t>
  </si>
  <si>
    <t>classe</t>
  </si>
  <si>
    <t>da   0 a 1</t>
  </si>
  <si>
    <t>da 1 a 1.5</t>
  </si>
  <si>
    <t>da 1.5 a 2</t>
  </si>
  <si>
    <t>da 2 a 2.5</t>
  </si>
  <si>
    <t>da 2.5 a 3</t>
  </si>
  <si>
    <t>da   3 a 4</t>
  </si>
  <si>
    <t>da   4 a 8</t>
  </si>
  <si>
    <t>da   8 a 12</t>
  </si>
  <si>
    <t>infinito</t>
  </si>
  <si>
    <t>Totali</t>
  </si>
  <si>
    <t>w*z</t>
  </si>
  <si>
    <t>w^2</t>
  </si>
  <si>
    <t>y^2</t>
  </si>
  <si>
    <t>Valori teorici</t>
  </si>
  <si>
    <t>di H(x)</t>
  </si>
  <si>
    <t>di F(x)</t>
  </si>
  <si>
    <t>n*var w</t>
  </si>
  <si>
    <t>n*var z</t>
  </si>
  <si>
    <t>r^2</t>
  </si>
  <si>
    <t>coef. b</t>
  </si>
  <si>
    <t>r</t>
  </si>
  <si>
    <t>coef. a</t>
  </si>
  <si>
    <t>alfa</t>
  </si>
  <si>
    <t>H(x) =</t>
  </si>
  <si>
    <t>1-F(x)</t>
  </si>
  <si>
    <t>effettivi</t>
  </si>
  <si>
    <t>Distribuzione di Pareto</t>
  </si>
  <si>
    <t>Distribuzione Lognormale</t>
  </si>
  <si>
    <t>Metodo minimi quadrati applicata alla distribuzione normale</t>
  </si>
  <si>
    <t>di f(x)</t>
  </si>
  <si>
    <t xml:space="preserve">Numero </t>
  </si>
  <si>
    <t>teorici</t>
  </si>
  <si>
    <t>c</t>
  </si>
  <si>
    <t>centrale</t>
  </si>
  <si>
    <t>Media</t>
  </si>
  <si>
    <t>Varianza</t>
  </si>
  <si>
    <t>Frequenze</t>
  </si>
  <si>
    <t>f (x)</t>
  </si>
  <si>
    <t>F (x)</t>
  </si>
  <si>
    <t>Scarti quadratici</t>
  </si>
  <si>
    <t>Gamma</t>
  </si>
  <si>
    <t>valori effettivi</t>
  </si>
  <si>
    <t>Distribuzione</t>
  </si>
  <si>
    <t>teorica</t>
  </si>
  <si>
    <t xml:space="preserve">num sinistri </t>
  </si>
  <si>
    <t>frequenza</t>
  </si>
  <si>
    <t>Distribuzione gamma</t>
  </si>
  <si>
    <t>Metodo momenti</t>
  </si>
  <si>
    <t>Metodo minimi quadrati su H(x)</t>
  </si>
  <si>
    <t>w =ln(x)</t>
  </si>
  <si>
    <t>y =ln(H(x))</t>
  </si>
  <si>
    <t xml:space="preserve">Estremo superiore </t>
  </si>
  <si>
    <t xml:space="preserve">Valore </t>
  </si>
  <si>
    <t>Numero sinistri</t>
  </si>
  <si>
    <t>Valori effettivi</t>
  </si>
  <si>
    <t>Valori</t>
  </si>
  <si>
    <t>Beta</t>
  </si>
  <si>
    <t>Alfa</t>
  </si>
  <si>
    <t>Numero dei termini=</t>
  </si>
  <si>
    <t>x*f(x)</t>
  </si>
  <si>
    <t>x^2*f(x)</t>
  </si>
  <si>
    <t>Momento secondo</t>
  </si>
  <si>
    <t>Scarto</t>
  </si>
  <si>
    <t>Media del danno globale</t>
  </si>
  <si>
    <t>Varianza del danno</t>
  </si>
  <si>
    <t>Ipotesi di base: Variabile numero dei sinistri distribuita secondo Poisson</t>
  </si>
  <si>
    <t>Determinazione dei momenti</t>
  </si>
  <si>
    <t>Mom.sec.</t>
  </si>
  <si>
    <t>Rappresentazioni grafiche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</si>
</sst>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"/>
    <numFmt numFmtId="181" formatCode="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000000000"/>
    <numFmt numFmtId="186" formatCode="0.00000000000000"/>
    <numFmt numFmtId="187" formatCode="0.0000000000000000"/>
    <numFmt numFmtId="188" formatCode="0.00000000000000000"/>
    <numFmt numFmtId="189" formatCode="0.000000000000000000"/>
    <numFmt numFmtId="190" formatCode="0.0000000000000000000"/>
    <numFmt numFmtId="191" formatCode="#,##0.0"/>
    <numFmt numFmtId="192" formatCode="#.##0.0"/>
    <numFmt numFmtId="193" formatCode="#.##0.00"/>
    <numFmt numFmtId="194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 horizontal="right"/>
    </xf>
    <xf numFmtId="181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170" fontId="1" fillId="0" borderId="0" xfId="0" applyNumberFormat="1" applyFont="1" applyAlignment="1">
      <alignment horizontal="left"/>
    </xf>
    <xf numFmtId="179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33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180" fontId="12" fillId="0" borderId="0" xfId="0" applyNumberFormat="1" applyFont="1" applyAlignment="1">
      <alignment/>
    </xf>
    <xf numFmtId="180" fontId="0" fillId="0" borderId="0" xfId="0" applyNumberForma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Distribuzione del numero sinistri per importo</a:t>
            </a:r>
          </a:p>
        </c:rich>
      </c:tx>
      <c:layout>
        <c:manualLayout>
          <c:xMode val="factor"/>
          <c:yMode val="factor"/>
          <c:x val="-0.02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65"/>
          <c:w val="0.88675"/>
          <c:h val="0.74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'Rappresentazioni grafiche'!$A$32:$A$39</c:f>
              <c:numCache/>
            </c:numRef>
          </c:xVal>
          <c:yVal>
            <c:numRef>
              <c:f>'Rappresentazioni grafiche'!$B$32:$B$39</c:f>
              <c:numCache/>
            </c:numRef>
          </c:yVal>
          <c:smooth val="1"/>
        </c:ser>
        <c:axId val="47988018"/>
        <c:axId val="29238979"/>
      </c:scatterChart>
      <c:valAx>
        <c:axId val="4798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Importo x</a:t>
                </a:r>
              </a:p>
            </c:rich>
          </c:tx>
          <c:layout>
            <c:manualLayout>
              <c:xMode val="factor"/>
              <c:yMode val="factor"/>
              <c:x val="-0.04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979"/>
        <c:crosses val="autoZero"/>
        <c:crossBetween val="midCat"/>
        <c:dispUnits/>
      </c:valAx>
      <c:valAx>
        <c:axId val="2923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sinistri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8018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Funzione di distribuzione F(x) del numero di sinistri per importo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0175"/>
          <c:w val="0.88775"/>
          <c:h val="0.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'Rappresentazioni grafiche'!$B$43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'Rappresentazioni grafiche'!$A$44:$A$51</c:f>
              <c:numCache/>
            </c:numRef>
          </c:xVal>
          <c:yVal>
            <c:numRef>
              <c:f>'Rappresentazioni grafiche'!$B$44:$B$51</c:f>
              <c:numCache/>
            </c:numRef>
          </c:yVal>
          <c:smooth val="1"/>
        </c:ser>
        <c:axId val="61824220"/>
        <c:axId val="19547069"/>
      </c:scatterChart>
      <c:valAx>
        <c:axId val="6182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Importo x</a:t>
                </a:r>
              </a:p>
            </c:rich>
          </c:tx>
          <c:layout>
            <c:manualLayout>
              <c:xMode val="factor"/>
              <c:yMode val="factor"/>
              <c:x val="-0.04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7069"/>
        <c:crosses val="autoZero"/>
        <c:crossBetween val="midCat"/>
        <c:dispUnits/>
      </c:valAx>
      <c:valAx>
        <c:axId val="19547069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4220"/>
        <c:crosses val="autoZero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Distribuzione dei sinistri per importo  in assenza di riassicurazione</a:t>
            </a:r>
          </a:p>
        </c:rich>
      </c:tx>
      <c:layout>
        <c:manualLayout>
          <c:xMode val="factor"/>
          <c:yMode val="factor"/>
          <c:x val="-0.02675"/>
          <c:y val="-0.01875"/>
        </c:manualLayout>
      </c:layout>
      <c:spPr>
        <a:noFill/>
        <a:ln>
          <a:noFill/>
        </a:ln>
      </c:spPr>
    </c:title>
    <c:view3D>
      <c:rotX val="15"/>
      <c:hPercent val="240"/>
      <c:rotY val="20"/>
      <c:depthPercent val="820"/>
      <c:rAngAx val="1"/>
    </c:view3D>
    <c:plotArea>
      <c:layout>
        <c:manualLayout>
          <c:xMode val="edge"/>
          <c:yMode val="edge"/>
          <c:x val="0.02675"/>
          <c:y val="0.25825"/>
          <c:w val="0.94675"/>
          <c:h val="0.694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'Rappresentazioni grafiche'!$A$54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'Rappresentazioni grafiche'!$B$55:$B$73</c:f>
              <c:numCache/>
            </c:numRef>
          </c:cat>
          <c:val>
            <c:numRef>
              <c:f>'Rappresentazioni grafiche'!$A$55:$A$73</c:f>
              <c:numCache/>
            </c:numRef>
          </c:val>
          <c:shape val="box"/>
        </c:ser>
        <c:gapWidth val="0"/>
        <c:gapDepth val="160"/>
        <c:shape val="box"/>
        <c:axId val="41705894"/>
        <c:axId val="39808727"/>
      </c:bar3DChart>
      <c:catAx>
        <c:axId val="41705894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8727"/>
        <c:crosses val="autoZero"/>
        <c:auto val="1"/>
        <c:lblOffset val="100"/>
        <c:tickLblSkip val="9"/>
        <c:noMultiLvlLbl val="0"/>
      </c:catAx>
      <c:valAx>
        <c:axId val="39808727"/>
        <c:scaling>
          <c:orientation val="minMax"/>
          <c:max val="8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5894"/>
        <c:crossesAt val="1"/>
        <c:crossBetween val="between"/>
        <c:dispUnits/>
        <c:majorUnit val="4"/>
        <c:minorUnit val="0.25"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2.wmf" /><Relationship Id="rId3" Type="http://schemas.openxmlformats.org/officeDocument/2006/relationships/image" Target="../media/image4.wmf" /><Relationship Id="rId4" Type="http://schemas.openxmlformats.org/officeDocument/2006/relationships/image" Target="../media/image4.wmf" /><Relationship Id="rId5" Type="http://schemas.openxmlformats.org/officeDocument/2006/relationships/image" Target="../media/image7.wmf" /><Relationship Id="rId6" Type="http://schemas.openxmlformats.org/officeDocument/2006/relationships/image" Target="../media/image1.wmf" /><Relationship Id="rId7" Type="http://schemas.openxmlformats.org/officeDocument/2006/relationships/image" Target="../media/image3.wmf" /><Relationship Id="rId8" Type="http://schemas.openxmlformats.org/officeDocument/2006/relationships/image" Target="../media/image6.wmf" /><Relationship Id="rId9" Type="http://schemas.openxmlformats.org/officeDocument/2006/relationships/image" Target="../media/image8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9.wmf" /><Relationship Id="rId3" Type="http://schemas.openxmlformats.org/officeDocument/2006/relationships/image" Target="../media/image1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4.wmf" /><Relationship Id="rId3" Type="http://schemas.openxmlformats.org/officeDocument/2006/relationships/image" Target="../media/image15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0.16025</cdr:y>
    </cdr:from>
    <cdr:to>
      <cdr:x>0.2985</cdr:x>
      <cdr:y>0.16025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 flipV="1">
          <a:off x="1085850" y="3333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0.32125</cdr:x>
      <cdr:y>0.1865</cdr:y>
    </cdr:from>
    <cdr:to>
      <cdr:x>0.32125</cdr:x>
      <cdr:y>0.1865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 flipV="1">
          <a:off x="1171575" y="3905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0.32125</cdr:x>
      <cdr:y>0.16725</cdr:y>
    </cdr:from>
    <cdr:to>
      <cdr:x>0.962</cdr:x>
      <cdr:y>0.3295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 flipV="1">
          <a:off x="1171575" y="352425"/>
          <a:ext cx="2343150" cy="342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25</xdr:row>
      <xdr:rowOff>0</xdr:rowOff>
    </xdr:from>
    <xdr:to>
      <xdr:col>9</xdr:col>
      <xdr:colOff>590550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3905250" y="4114800"/>
        <a:ext cx="36195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40</xdr:row>
      <xdr:rowOff>142875</xdr:rowOff>
    </xdr:from>
    <xdr:to>
      <xdr:col>9</xdr:col>
      <xdr:colOff>600075</xdr:colOff>
      <xdr:row>54</xdr:row>
      <xdr:rowOff>19050</xdr:rowOff>
    </xdr:to>
    <xdr:graphicFrame>
      <xdr:nvGraphicFramePr>
        <xdr:cNvPr id="2" name="Chart 2"/>
        <xdr:cNvGraphicFramePr/>
      </xdr:nvGraphicFramePr>
      <xdr:xfrm>
        <a:off x="3886200" y="6753225"/>
        <a:ext cx="36480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60</xdr:row>
      <xdr:rowOff>9525</xdr:rowOff>
    </xdr:from>
    <xdr:to>
      <xdr:col>10</xdr:col>
      <xdr:colOff>0</xdr:colOff>
      <xdr:row>73</xdr:row>
      <xdr:rowOff>19050</xdr:rowOff>
    </xdr:to>
    <xdr:graphicFrame>
      <xdr:nvGraphicFramePr>
        <xdr:cNvPr id="3" name="Chart 3"/>
        <xdr:cNvGraphicFramePr/>
      </xdr:nvGraphicFramePr>
      <xdr:xfrm>
        <a:off x="3886200" y="9858375"/>
        <a:ext cx="36576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514350</xdr:colOff>
      <xdr:row>70</xdr:row>
      <xdr:rowOff>104775</xdr:rowOff>
    </xdr:from>
    <xdr:to>
      <xdr:col>5</xdr:col>
      <xdr:colOff>514350</xdr:colOff>
      <xdr:row>71</xdr:row>
      <xdr:rowOff>142875</xdr:rowOff>
    </xdr:to>
    <xdr:sp>
      <xdr:nvSpPr>
        <xdr:cNvPr id="4" name="Line 5"/>
        <xdr:cNvSpPr>
          <a:spLocks/>
        </xdr:cNvSpPr>
      </xdr:nvSpPr>
      <xdr:spPr>
        <a:xfrm flipV="1">
          <a:off x="5010150" y="11572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zoomScalePageLayoutView="0" workbookViewId="0" topLeftCell="A52">
      <selection activeCell="C81" sqref="C81"/>
    </sheetView>
  </sheetViews>
  <sheetFormatPr defaultColWidth="9.140625" defaultRowHeight="12.75"/>
  <cols>
    <col min="1" max="1" width="19.28125" style="0" customWidth="1"/>
    <col min="2" max="2" width="14.7109375" style="0" customWidth="1"/>
    <col min="4" max="4" width="16.7109375" style="0" bestFit="1" customWidth="1"/>
    <col min="6" max="6" width="11.28125" style="0" customWidth="1"/>
    <col min="10" max="10" width="9.57421875" style="0" bestFit="1" customWidth="1"/>
  </cols>
  <sheetData>
    <row r="2" spans="1:8" ht="15.75">
      <c r="A2" s="24" t="s">
        <v>25</v>
      </c>
      <c r="C2" s="24" t="s">
        <v>26</v>
      </c>
      <c r="H2" s="24" t="s">
        <v>65</v>
      </c>
    </row>
    <row r="3" ht="15.75">
      <c r="A3" s="24" t="s">
        <v>66</v>
      </c>
    </row>
    <row r="15" spans="5:6" ht="12.75">
      <c r="E15" s="6" t="s">
        <v>11</v>
      </c>
      <c r="F15" s="9">
        <v>0.41785444744335615</v>
      </c>
    </row>
    <row r="16" spans="1:6" ht="12.75">
      <c r="A16" s="19" t="s">
        <v>0</v>
      </c>
      <c r="B16" s="8"/>
      <c r="E16" s="6" t="s">
        <v>14</v>
      </c>
      <c r="F16" s="9">
        <v>-2.445504732504408</v>
      </c>
    </row>
    <row r="17" spans="1:6" ht="12.75">
      <c r="A17" s="19" t="s">
        <v>1</v>
      </c>
      <c r="B17" s="19" t="s">
        <v>4</v>
      </c>
      <c r="E17" s="6"/>
      <c r="F17" s="9"/>
    </row>
    <row r="18" spans="1:8" ht="12.75">
      <c r="A18" s="19" t="s">
        <v>2</v>
      </c>
      <c r="B18" s="20" t="s">
        <v>5</v>
      </c>
      <c r="C18" s="13" t="s">
        <v>6</v>
      </c>
      <c r="D18" s="20" t="s">
        <v>7</v>
      </c>
      <c r="E18" s="20" t="s">
        <v>8</v>
      </c>
      <c r="F18" s="22" t="s">
        <v>20</v>
      </c>
      <c r="G18" s="20" t="s">
        <v>21</v>
      </c>
      <c r="H18" s="14" t="s">
        <v>23</v>
      </c>
    </row>
    <row r="19" spans="1:7" ht="12.75">
      <c r="A19" s="19"/>
      <c r="B19" s="8"/>
      <c r="D19" s="8"/>
      <c r="E19" s="8"/>
      <c r="F19" s="8"/>
      <c r="G19" s="8"/>
    </row>
    <row r="20" spans="1:10" ht="12.75">
      <c r="A20" s="19">
        <v>250</v>
      </c>
      <c r="B20" s="21">
        <v>4346</v>
      </c>
      <c r="C20">
        <f>B20/$B$31</f>
        <v>0.4346</v>
      </c>
      <c r="D20" s="7">
        <f>C20</f>
        <v>0.4346</v>
      </c>
      <c r="E20" s="7">
        <f>NORMSINV(D20)</f>
        <v>-0.16467474009465677</v>
      </c>
      <c r="F20" s="18">
        <f>F39</f>
        <v>-0.13833860110023455</v>
      </c>
      <c r="G20" s="18">
        <f>NORMSDIST(F20)</f>
        <v>0.44498640975639736</v>
      </c>
      <c r="H20" s="3">
        <f>G20</f>
        <v>0.44498640975639736</v>
      </c>
      <c r="I20" s="23">
        <f>H20*$B$31</f>
        <v>4449.864097563974</v>
      </c>
      <c r="J20" s="10"/>
    </row>
    <row r="21" spans="1:10" ht="12.75">
      <c r="A21" s="19">
        <v>500</v>
      </c>
      <c r="B21" s="21">
        <v>1231</v>
      </c>
      <c r="C21">
        <f aca="true" t="shared" si="0" ref="C21:C29">B21/$B$31</f>
        <v>0.1231</v>
      </c>
      <c r="D21" s="7">
        <f>D20+C21</f>
        <v>0.5577</v>
      </c>
      <c r="E21" s="7">
        <f aca="true" t="shared" si="1" ref="E21:E28">NORMSINV(D21)</f>
        <v>0.1451404271047798</v>
      </c>
      <c r="F21" s="18">
        <f aca="true" t="shared" si="2" ref="F21:F28">F40</f>
        <v>0.15129650155881214</v>
      </c>
      <c r="G21" s="18">
        <f aca="true" t="shared" si="3" ref="G21:G28">NORMSDIST(F21)</f>
        <v>0.5601290855661412</v>
      </c>
      <c r="H21" s="3">
        <f>G21-G20</f>
        <v>0.1151426758097438</v>
      </c>
      <c r="I21" s="23">
        <f aca="true" t="shared" si="4" ref="I21:I28">H21*$B$31</f>
        <v>1151.426758097438</v>
      </c>
      <c r="J21" s="10"/>
    </row>
    <row r="22" spans="1:10" ht="12.75">
      <c r="A22" s="19">
        <v>1000</v>
      </c>
      <c r="B22" s="21">
        <v>1423</v>
      </c>
      <c r="C22">
        <f t="shared" si="0"/>
        <v>0.1423</v>
      </c>
      <c r="D22" s="7">
        <f aca="true" t="shared" si="5" ref="D22:D29">D21+C22</f>
        <v>0.7</v>
      </c>
      <c r="E22" s="7">
        <f t="shared" si="1"/>
        <v>0.5244005127080404</v>
      </c>
      <c r="F22" s="18">
        <f t="shared" si="2"/>
        <v>0.4409316042178588</v>
      </c>
      <c r="G22" s="18">
        <f t="shared" si="3"/>
        <v>0.6703687435397303</v>
      </c>
      <c r="H22" s="3">
        <f aca="true" t="shared" si="6" ref="H22:H28">G22-G21</f>
        <v>0.11023965797358914</v>
      </c>
      <c r="I22" s="23">
        <f t="shared" si="4"/>
        <v>1102.3965797358915</v>
      </c>
      <c r="J22" s="10"/>
    </row>
    <row r="23" spans="1:10" ht="12.75">
      <c r="A23" s="19">
        <v>2000</v>
      </c>
      <c r="B23" s="21">
        <v>846</v>
      </c>
      <c r="C23">
        <f t="shared" si="0"/>
        <v>0.0846</v>
      </c>
      <c r="D23" s="7">
        <f t="shared" si="5"/>
        <v>0.7846</v>
      </c>
      <c r="E23" s="7">
        <f t="shared" si="1"/>
        <v>0.787823419970298</v>
      </c>
      <c r="F23" s="18">
        <f t="shared" si="2"/>
        <v>0.7305667068769055</v>
      </c>
      <c r="G23" s="18">
        <f t="shared" si="3"/>
        <v>0.7674780730234951</v>
      </c>
      <c r="H23" s="3">
        <f t="shared" si="6"/>
        <v>0.09710932948376483</v>
      </c>
      <c r="I23" s="23">
        <f t="shared" si="4"/>
        <v>971.0932948376483</v>
      </c>
      <c r="J23" s="10"/>
    </row>
    <row r="24" spans="1:10" ht="12.75">
      <c r="A24" s="19">
        <v>4000</v>
      </c>
      <c r="B24" s="21">
        <v>462</v>
      </c>
      <c r="C24">
        <f t="shared" si="0"/>
        <v>0.0462</v>
      </c>
      <c r="D24" s="7">
        <f t="shared" si="5"/>
        <v>0.8308</v>
      </c>
      <c r="E24" s="7">
        <f t="shared" si="1"/>
        <v>0.9573314225292582</v>
      </c>
      <c r="F24" s="18">
        <f t="shared" si="2"/>
        <v>1.0202018095359522</v>
      </c>
      <c r="G24" s="18">
        <f t="shared" si="3"/>
        <v>0.8461836201910508</v>
      </c>
      <c r="H24" s="3">
        <f t="shared" si="6"/>
        <v>0.07870554716755562</v>
      </c>
      <c r="I24" s="23">
        <f t="shared" si="4"/>
        <v>787.0554716755562</v>
      </c>
      <c r="J24" s="10"/>
    </row>
    <row r="25" spans="1:10" ht="12.75">
      <c r="A25" s="19">
        <v>8000</v>
      </c>
      <c r="B25" s="21">
        <v>692</v>
      </c>
      <c r="C25">
        <f t="shared" si="0"/>
        <v>0.0692</v>
      </c>
      <c r="D25" s="7">
        <f t="shared" si="5"/>
        <v>0.9</v>
      </c>
      <c r="E25" s="7">
        <f t="shared" si="1"/>
        <v>1.2815515655446004</v>
      </c>
      <c r="F25" s="18">
        <f t="shared" si="2"/>
        <v>1.3098369121949989</v>
      </c>
      <c r="G25" s="18">
        <f t="shared" si="3"/>
        <v>0.9048744934839332</v>
      </c>
      <c r="H25" s="3">
        <f t="shared" si="6"/>
        <v>0.05869087329288247</v>
      </c>
      <c r="I25" s="23">
        <f t="shared" si="4"/>
        <v>586.9087329288247</v>
      </c>
      <c r="J25" s="10"/>
    </row>
    <row r="26" spans="1:10" ht="12.75">
      <c r="A26" s="19">
        <v>16000</v>
      </c>
      <c r="B26" s="21">
        <v>346</v>
      </c>
      <c r="C26">
        <f t="shared" si="0"/>
        <v>0.0346</v>
      </c>
      <c r="D26" s="7">
        <f t="shared" si="5"/>
        <v>0.9346</v>
      </c>
      <c r="E26" s="7">
        <f t="shared" si="1"/>
        <v>1.5109546718840545</v>
      </c>
      <c r="F26" s="18">
        <f t="shared" si="2"/>
        <v>1.5994720148540456</v>
      </c>
      <c r="G26" s="18">
        <f t="shared" si="3"/>
        <v>0.9451421190061385</v>
      </c>
      <c r="H26" s="3">
        <f t="shared" si="6"/>
        <v>0.04026762552220531</v>
      </c>
      <c r="I26" s="23">
        <f t="shared" si="4"/>
        <v>402.6762552220531</v>
      </c>
      <c r="J26" s="10"/>
    </row>
    <row r="27" spans="1:10" ht="12.75">
      <c r="A27" s="19">
        <v>32000</v>
      </c>
      <c r="B27" s="21">
        <v>346</v>
      </c>
      <c r="C27">
        <f t="shared" si="0"/>
        <v>0.0346</v>
      </c>
      <c r="D27" s="7">
        <f t="shared" si="5"/>
        <v>0.9692</v>
      </c>
      <c r="E27" s="7">
        <f t="shared" si="1"/>
        <v>1.8691640081566758</v>
      </c>
      <c r="F27" s="18">
        <f t="shared" si="2"/>
        <v>1.8891071175130927</v>
      </c>
      <c r="G27" s="18">
        <f t="shared" si="3"/>
        <v>0.9705612615333938</v>
      </c>
      <c r="H27" s="3">
        <f t="shared" si="6"/>
        <v>0.0254191425272553</v>
      </c>
      <c r="I27" s="23">
        <f t="shared" si="4"/>
        <v>254.191425272553</v>
      </c>
      <c r="J27" s="10"/>
    </row>
    <row r="28" spans="1:10" ht="12.75">
      <c r="A28" s="19">
        <v>64000</v>
      </c>
      <c r="B28" s="21">
        <v>192</v>
      </c>
      <c r="C28">
        <f t="shared" si="0"/>
        <v>0.0192</v>
      </c>
      <c r="D28" s="7">
        <f t="shared" si="5"/>
        <v>0.9884</v>
      </c>
      <c r="E28" s="7">
        <f t="shared" si="1"/>
        <v>2.270124998020517</v>
      </c>
      <c r="F28" s="18">
        <f t="shared" si="2"/>
        <v>2.178742220172139</v>
      </c>
      <c r="G28" s="18">
        <f t="shared" si="3"/>
        <v>0.9853245882860531</v>
      </c>
      <c r="H28" s="3">
        <f t="shared" si="6"/>
        <v>0.014763326752659234</v>
      </c>
      <c r="I28" s="23">
        <f t="shared" si="4"/>
        <v>147.63326752659233</v>
      </c>
      <c r="J28" s="10"/>
    </row>
    <row r="29" spans="1:10" ht="12.75">
      <c r="A29" s="19" t="s">
        <v>3</v>
      </c>
      <c r="B29" s="21">
        <v>116</v>
      </c>
      <c r="C29">
        <f t="shared" si="0"/>
        <v>0.0116</v>
      </c>
      <c r="D29" s="7">
        <f t="shared" si="5"/>
        <v>1</v>
      </c>
      <c r="E29" s="8"/>
      <c r="J29" s="10"/>
    </row>
    <row r="30" spans="1:10" ht="12.75">
      <c r="A30" s="1"/>
      <c r="B30" s="2"/>
      <c r="J30" s="12"/>
    </row>
    <row r="31" spans="2:3" ht="12.75">
      <c r="B31" s="2">
        <f>SUM(B20:B29)</f>
        <v>10000</v>
      </c>
      <c r="C31" s="2">
        <f>SUM(C20:C29)</f>
        <v>1</v>
      </c>
    </row>
    <row r="37" spans="1:3" ht="12.75">
      <c r="A37" s="8" t="s">
        <v>9</v>
      </c>
      <c r="B37" s="4" t="s">
        <v>13</v>
      </c>
      <c r="C37" s="16">
        <v>9</v>
      </c>
    </row>
    <row r="38" spans="1:6" ht="12.75">
      <c r="A38" s="15" t="s">
        <v>2</v>
      </c>
      <c r="B38" t="s">
        <v>10</v>
      </c>
      <c r="C38" t="s">
        <v>8</v>
      </c>
      <c r="D38" t="s">
        <v>12</v>
      </c>
      <c r="E38" t="s">
        <v>15</v>
      </c>
      <c r="F38" s="4" t="s">
        <v>20</v>
      </c>
    </row>
    <row r="39" spans="1:6" ht="12.75">
      <c r="A39" s="4">
        <f>A20</f>
        <v>250</v>
      </c>
      <c r="B39" s="5">
        <f>LN(A39)</f>
        <v>5.521460917862246</v>
      </c>
      <c r="C39" s="5">
        <f>E20</f>
        <v>-0.16467474009465677</v>
      </c>
      <c r="D39" s="3">
        <f>B39^2</f>
        <v>30.486530667480196</v>
      </c>
      <c r="E39" s="3">
        <f>C39^2</f>
        <v>0.02711777002524276</v>
      </c>
      <c r="F39" s="5">
        <f>$B$52*B39+$B$53</f>
        <v>-0.13833860110023455</v>
      </c>
    </row>
    <row r="40" spans="1:6" ht="12.75">
      <c r="A40" s="4">
        <f aca="true" t="shared" si="7" ref="A40:A47">A21</f>
        <v>500</v>
      </c>
      <c r="B40" s="5">
        <f aca="true" t="shared" si="8" ref="B40:B47">LN(A40)</f>
        <v>6.214608098422191</v>
      </c>
      <c r="C40" s="5">
        <f aca="true" t="shared" si="9" ref="C40:C47">E21</f>
        <v>0.1451404271047798</v>
      </c>
      <c r="D40" s="3">
        <f>B40^2</f>
        <v>38.62135381697468</v>
      </c>
      <c r="E40" s="3">
        <f>C40^2</f>
        <v>0.021065743580157902</v>
      </c>
      <c r="F40" s="3">
        <f>$B$52*B40+$B$53</f>
        <v>0.15129650155881214</v>
      </c>
    </row>
    <row r="41" spans="1:6" ht="12.75">
      <c r="A41" s="4">
        <f t="shared" si="7"/>
        <v>1000</v>
      </c>
      <c r="B41" s="5">
        <f t="shared" si="8"/>
        <v>6.907755278982137</v>
      </c>
      <c r="C41" s="5">
        <f t="shared" si="9"/>
        <v>0.5244005127080404</v>
      </c>
      <c r="D41" s="3">
        <f aca="true" t="shared" si="10" ref="D41:D47">B41^2</f>
        <v>47.71708299430558</v>
      </c>
      <c r="E41" s="3">
        <f aca="true" t="shared" si="11" ref="E41:E47">C41^2</f>
        <v>0.2749958977284557</v>
      </c>
      <c r="F41" s="3">
        <f aca="true" t="shared" si="12" ref="F41:F47">$B$52*B41+$B$53</f>
        <v>0.4409316042178588</v>
      </c>
    </row>
    <row r="42" spans="1:6" ht="12.75">
      <c r="A42" s="4">
        <f t="shared" si="7"/>
        <v>2000</v>
      </c>
      <c r="B42" s="5">
        <f t="shared" si="8"/>
        <v>7.600902459542082</v>
      </c>
      <c r="C42" s="5">
        <f t="shared" si="9"/>
        <v>0.787823419970298</v>
      </c>
      <c r="D42" s="3">
        <f t="shared" si="10"/>
        <v>57.773718199472874</v>
      </c>
      <c r="E42" s="3">
        <f t="shared" si="11"/>
        <v>0.6206657410536965</v>
      </c>
      <c r="F42" s="3">
        <f t="shared" si="12"/>
        <v>0.7305667068769055</v>
      </c>
    </row>
    <row r="43" spans="1:6" ht="12.75">
      <c r="A43" s="4">
        <f t="shared" si="7"/>
        <v>4000</v>
      </c>
      <c r="B43" s="5">
        <f t="shared" si="8"/>
        <v>8.294049640102028</v>
      </c>
      <c r="C43" s="5">
        <f t="shared" si="9"/>
        <v>0.9573314225292582</v>
      </c>
      <c r="D43" s="3">
        <f t="shared" si="10"/>
        <v>68.79125943247658</v>
      </c>
      <c r="E43" s="3">
        <f t="shared" si="11"/>
        <v>0.916483452561893</v>
      </c>
      <c r="F43" s="3">
        <f t="shared" si="12"/>
        <v>1.0202018095359522</v>
      </c>
    </row>
    <row r="44" spans="1:6" ht="12.75">
      <c r="A44" s="4">
        <f t="shared" si="7"/>
        <v>8000</v>
      </c>
      <c r="B44" s="5">
        <f t="shared" si="8"/>
        <v>8.987196820661973</v>
      </c>
      <c r="C44" s="5">
        <f t="shared" si="9"/>
        <v>1.2815515655446004</v>
      </c>
      <c r="D44" s="3">
        <f t="shared" si="10"/>
        <v>80.76970669331668</v>
      </c>
      <c r="E44" s="3">
        <f t="shared" si="11"/>
        <v>1.642374415149816</v>
      </c>
      <c r="F44" s="3">
        <f t="shared" si="12"/>
        <v>1.3098369121949989</v>
      </c>
    </row>
    <row r="45" spans="1:6" ht="12.75">
      <c r="A45" s="4">
        <f t="shared" si="7"/>
        <v>16000</v>
      </c>
      <c r="B45" s="5">
        <f t="shared" si="8"/>
        <v>9.680344001221918</v>
      </c>
      <c r="C45" s="5">
        <f t="shared" si="9"/>
        <v>1.5109546718840545</v>
      </c>
      <c r="D45" s="3">
        <f t="shared" si="10"/>
        <v>93.70905998199318</v>
      </c>
      <c r="E45" s="3">
        <f t="shared" si="11"/>
        <v>2.282984020488251</v>
      </c>
      <c r="F45" s="3">
        <f t="shared" si="12"/>
        <v>1.5994720148540456</v>
      </c>
    </row>
    <row r="46" spans="1:6" ht="12.75">
      <c r="A46" s="4">
        <f t="shared" si="7"/>
        <v>32000</v>
      </c>
      <c r="B46" s="5">
        <f t="shared" si="8"/>
        <v>10.373491181781864</v>
      </c>
      <c r="C46" s="5">
        <f t="shared" si="9"/>
        <v>1.8691640081566758</v>
      </c>
      <c r="D46" s="3">
        <f t="shared" si="10"/>
        <v>107.6093192985061</v>
      </c>
      <c r="E46" s="3">
        <f t="shared" si="11"/>
        <v>3.49377408938833</v>
      </c>
      <c r="F46" s="3">
        <f t="shared" si="12"/>
        <v>1.8891071175130927</v>
      </c>
    </row>
    <row r="47" spans="1:6" ht="12.75">
      <c r="A47" s="4">
        <f t="shared" si="7"/>
        <v>64000</v>
      </c>
      <c r="B47" s="5">
        <f t="shared" si="8"/>
        <v>11.06663836234181</v>
      </c>
      <c r="C47" s="5">
        <f t="shared" si="9"/>
        <v>2.270124998020517</v>
      </c>
      <c r="D47" s="3">
        <f t="shared" si="10"/>
        <v>122.4704846428554</v>
      </c>
      <c r="E47" s="3">
        <f t="shared" si="11"/>
        <v>5.153467506637652</v>
      </c>
      <c r="F47" s="3">
        <f t="shared" si="12"/>
        <v>2.178742220172139</v>
      </c>
    </row>
    <row r="48" spans="1:6" ht="12.75">
      <c r="A48" s="4"/>
      <c r="B48" s="5"/>
      <c r="C48" s="5"/>
      <c r="D48" s="3"/>
      <c r="E48" s="3"/>
      <c r="F48" s="3"/>
    </row>
    <row r="49" spans="1:6" s="8" customFormat="1" ht="12.75">
      <c r="A49" s="6"/>
      <c r="B49" s="7">
        <f>SUM(B39:B47)</f>
        <v>74.64644676091825</v>
      </c>
      <c r="C49" s="7">
        <f>SUM(C39:C47)</f>
        <v>9.181816285823569</v>
      </c>
      <c r="D49" s="7">
        <f>SUM(D39:D47)</f>
        <v>647.9485157273812</v>
      </c>
      <c r="E49" s="7">
        <f>SUM(E39:E47)</f>
        <v>14.432928636613495</v>
      </c>
      <c r="F49" s="7"/>
    </row>
    <row r="50" spans="1:12" ht="12.75">
      <c r="A50" s="4"/>
      <c r="B50" s="3"/>
      <c r="C50" s="3"/>
      <c r="D50" s="3"/>
      <c r="E50" s="58"/>
      <c r="F50" s="49"/>
      <c r="G50" s="49"/>
      <c r="H50" s="49"/>
      <c r="I50" s="49"/>
      <c r="J50" s="49"/>
      <c r="K50" s="49"/>
      <c r="L50" s="50"/>
    </row>
    <row r="51" spans="1:12" ht="12.75">
      <c r="A51" s="4"/>
      <c r="B51" s="3"/>
      <c r="C51" s="3"/>
      <c r="E51" s="51"/>
      <c r="F51" s="2"/>
      <c r="G51" s="2"/>
      <c r="H51" s="2"/>
      <c r="I51" s="2"/>
      <c r="J51" s="2"/>
      <c r="K51" s="2"/>
      <c r="L51" s="53"/>
    </row>
    <row r="52" spans="1:12" ht="12.75">
      <c r="A52" s="6" t="s">
        <v>11</v>
      </c>
      <c r="B52" s="17">
        <f>(SUMPRODUCT(B39:B47,C39:C47)-(B49*C49)/C37)/C54</f>
        <v>0.41785512627357246</v>
      </c>
      <c r="E52" s="51"/>
      <c r="F52" s="59"/>
      <c r="G52" s="2"/>
      <c r="H52" s="2"/>
      <c r="I52" s="2"/>
      <c r="J52" s="2"/>
      <c r="K52" s="2"/>
      <c r="L52" s="53"/>
    </row>
    <row r="53" spans="1:12" ht="12.75">
      <c r="A53" s="6" t="s">
        <v>14</v>
      </c>
      <c r="B53" s="17">
        <f>C49/C37-B52*B49/C37</f>
        <v>-2.445509350148159</v>
      </c>
      <c r="E53" s="51"/>
      <c r="F53" s="59"/>
      <c r="G53" s="2"/>
      <c r="H53" s="2"/>
      <c r="I53" s="2"/>
      <c r="J53" s="2"/>
      <c r="K53" s="2"/>
      <c r="L53" s="53"/>
    </row>
    <row r="54" spans="2:12" ht="12.75">
      <c r="B54" s="6" t="s">
        <v>16</v>
      </c>
      <c r="C54" s="9">
        <f>D49-(B49^2)/C37</f>
        <v>28.827180835091895</v>
      </c>
      <c r="D54" s="3"/>
      <c r="E54" s="51"/>
      <c r="F54" s="59"/>
      <c r="G54" s="2"/>
      <c r="H54" s="2"/>
      <c r="I54" s="2"/>
      <c r="J54" s="2"/>
      <c r="K54" s="2"/>
      <c r="L54" s="53"/>
    </row>
    <row r="55" spans="2:12" ht="12.75">
      <c r="B55" s="6" t="s">
        <v>22</v>
      </c>
      <c r="C55" s="9">
        <f>E49-(C49^2)/C37</f>
        <v>5.065623046989616</v>
      </c>
      <c r="D55" s="3"/>
      <c r="E55" s="55"/>
      <c r="F55" s="56"/>
      <c r="G55" s="56"/>
      <c r="H55" s="56"/>
      <c r="I55" s="56"/>
      <c r="J55" s="56"/>
      <c r="K55" s="56"/>
      <c r="L55" s="57"/>
    </row>
    <row r="56" spans="1:4" ht="12.75">
      <c r="A56" s="8" t="s">
        <v>17</v>
      </c>
      <c r="B56" s="7">
        <f>((SUMPRODUCT(B39:B47,C39:C47)-((B49*C49)/C37)))^2</f>
        <v>145.0961249294806</v>
      </c>
      <c r="C56" s="7">
        <f>B56/(C54*C55)</f>
        <v>0.9936210244720316</v>
      </c>
      <c r="D56" s="8" t="s">
        <v>18</v>
      </c>
    </row>
    <row r="57" spans="2:4" ht="12.75">
      <c r="B57" s="6" t="s">
        <v>19</v>
      </c>
      <c r="C57" s="7">
        <f>SQRT(C56)</f>
        <v>0.9968054095318863</v>
      </c>
      <c r="D57" s="8"/>
    </row>
    <row r="59" ht="12.75">
      <c r="A59" s="8" t="s">
        <v>24</v>
      </c>
    </row>
    <row r="60" ht="12.75">
      <c r="A60" s="4" t="str">
        <f>A18</f>
        <v>x</v>
      </c>
    </row>
    <row r="61" ht="12.75">
      <c r="B61" s="4"/>
    </row>
    <row r="62" spans="1:4" ht="12.75">
      <c r="A62">
        <f aca="true" t="shared" si="13" ref="A62:B70">A20</f>
        <v>250</v>
      </c>
      <c r="B62" s="4">
        <f t="shared" si="13"/>
        <v>4346</v>
      </c>
      <c r="C62" s="11">
        <f aca="true" t="shared" si="14" ref="C62:C70">I20</f>
        <v>4449.864097563974</v>
      </c>
      <c r="D62" s="10">
        <f>((B62-C62)^2)/C62</f>
        <v>2.424287691995869</v>
      </c>
    </row>
    <row r="63" spans="1:4" ht="12.75">
      <c r="A63">
        <f t="shared" si="13"/>
        <v>500</v>
      </c>
      <c r="B63" s="4">
        <f t="shared" si="13"/>
        <v>1231</v>
      </c>
      <c r="C63" s="11">
        <f t="shared" si="14"/>
        <v>1151.426758097438</v>
      </c>
      <c r="D63" s="10">
        <f aca="true" t="shared" si="15" ref="D63:D70">((B63-C63)^2)/C63</f>
        <v>5.499178113027493</v>
      </c>
    </row>
    <row r="64" spans="1:4" ht="12.75">
      <c r="A64">
        <f t="shared" si="13"/>
        <v>1000</v>
      </c>
      <c r="B64" s="4">
        <f t="shared" si="13"/>
        <v>1423</v>
      </c>
      <c r="C64" s="11">
        <f t="shared" si="14"/>
        <v>1102.3965797358915</v>
      </c>
      <c r="D64" s="10">
        <f t="shared" si="15"/>
        <v>93.23917995978348</v>
      </c>
    </row>
    <row r="65" spans="1:4" ht="12.75">
      <c r="A65">
        <f t="shared" si="13"/>
        <v>2000</v>
      </c>
      <c r="B65" s="4">
        <f t="shared" si="13"/>
        <v>846</v>
      </c>
      <c r="C65" s="11">
        <f t="shared" si="14"/>
        <v>971.0932948376483</v>
      </c>
      <c r="D65" s="10">
        <f t="shared" si="15"/>
        <v>16.11413908068942</v>
      </c>
    </row>
    <row r="66" spans="1:4" ht="12.75">
      <c r="A66">
        <f t="shared" si="13"/>
        <v>4000</v>
      </c>
      <c r="B66" s="4">
        <f t="shared" si="13"/>
        <v>462</v>
      </c>
      <c r="C66" s="11">
        <f t="shared" si="14"/>
        <v>787.0554716755562</v>
      </c>
      <c r="D66" s="10">
        <f t="shared" si="15"/>
        <v>134.24855485888094</v>
      </c>
    </row>
    <row r="67" spans="1:4" ht="12.75">
      <c r="A67">
        <f t="shared" si="13"/>
        <v>8000</v>
      </c>
      <c r="B67" s="4">
        <f t="shared" si="13"/>
        <v>692</v>
      </c>
      <c r="C67" s="11">
        <f t="shared" si="14"/>
        <v>586.9087329288247</v>
      </c>
      <c r="D67" s="10">
        <f t="shared" si="15"/>
        <v>18.817532939937404</v>
      </c>
    </row>
    <row r="68" spans="1:4" ht="12.75">
      <c r="A68">
        <f t="shared" si="13"/>
        <v>16000</v>
      </c>
      <c r="B68" s="4">
        <f t="shared" si="13"/>
        <v>346</v>
      </c>
      <c r="C68" s="11">
        <f t="shared" si="14"/>
        <v>402.6762552220531</v>
      </c>
      <c r="D68" s="10">
        <f t="shared" si="15"/>
        <v>7.977122724119793</v>
      </c>
    </row>
    <row r="69" spans="1:4" ht="12.75">
      <c r="A69">
        <f t="shared" si="13"/>
        <v>32000</v>
      </c>
      <c r="B69" s="4">
        <f t="shared" si="13"/>
        <v>346</v>
      </c>
      <c r="C69" s="11">
        <f t="shared" si="14"/>
        <v>254.191425272553</v>
      </c>
      <c r="D69" s="10">
        <f t="shared" si="15"/>
        <v>33.159318354061504</v>
      </c>
    </row>
    <row r="70" spans="1:4" ht="12.75">
      <c r="A70">
        <f t="shared" si="13"/>
        <v>64000</v>
      </c>
      <c r="B70" s="4">
        <f t="shared" si="13"/>
        <v>192</v>
      </c>
      <c r="C70" s="11">
        <f t="shared" si="14"/>
        <v>147.63326752659233</v>
      </c>
      <c r="D70" s="10">
        <f t="shared" si="15"/>
        <v>13.333085308921774</v>
      </c>
    </row>
    <row r="71" ht="12.75">
      <c r="D71" s="12">
        <f>SUM(D62:D70)</f>
        <v>324.8123990314177</v>
      </c>
    </row>
  </sheetData>
  <sheetProtection/>
  <printOptions/>
  <pageMargins left="0.75" right="0.75" top="1" bottom="1" header="0.5" footer="0.5"/>
  <pageSetup horizontalDpi="360" verticalDpi="360" orientation="portrait" paperSize="9" r:id="rId13"/>
  <legacyDrawing r:id="rId12"/>
  <oleObjects>
    <oleObject progId="Equation.3" shapeId="132755" r:id="rId1"/>
    <oleObject progId="Equation.3" shapeId="174715" r:id="rId2"/>
    <oleObject progId="Equation.3" shapeId="177945" r:id="rId3"/>
    <oleObject progId="Equation.3" shapeId="179449" r:id="rId4"/>
    <oleObject progId="Equation.3" shapeId="205851" r:id="rId5"/>
    <oleObject progId="Equation.3" shapeId="208914" r:id="rId6"/>
    <oleObject progId="Equation.3" shapeId="212209" r:id="rId7"/>
    <oleObject progId="Equation.3" shapeId="251246" r:id="rId8"/>
    <oleObject progId="Equation.3" shapeId="349606" r:id="rId9"/>
    <oleObject progId="Equation.3" shapeId="352018" r:id="rId10"/>
    <oleObject progId="Equation.3" shapeId="353881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43">
      <selection activeCell="A53" sqref="A53"/>
    </sheetView>
  </sheetViews>
  <sheetFormatPr defaultColWidth="9.140625" defaultRowHeight="12.75"/>
  <cols>
    <col min="1" max="1" width="14.8515625" style="0" customWidth="1"/>
    <col min="3" max="3" width="19.8515625" style="0" bestFit="1" customWidth="1"/>
    <col min="5" max="5" width="11.421875" style="0" customWidth="1"/>
    <col min="6" max="6" width="9.57421875" style="0" bestFit="1" customWidth="1"/>
    <col min="7" max="7" width="11.421875" style="0" customWidth="1"/>
    <col min="9" max="9" width="12.57421875" style="0" customWidth="1"/>
    <col min="10" max="10" width="12.421875" style="0" customWidth="1"/>
    <col min="11" max="11" width="11.140625" style="0" customWidth="1"/>
  </cols>
  <sheetData>
    <row r="1" ht="15.75">
      <c r="A1" s="24"/>
    </row>
    <row r="2" spans="1:8" ht="15.75">
      <c r="A2" s="24" t="s">
        <v>25</v>
      </c>
      <c r="C2" s="24" t="s">
        <v>26</v>
      </c>
      <c r="H2" s="24" t="s">
        <v>64</v>
      </c>
    </row>
    <row r="3" ht="15.75">
      <c r="A3" s="24" t="s">
        <v>86</v>
      </c>
    </row>
    <row r="5" ht="12.75">
      <c r="C5" s="8" t="s">
        <v>27</v>
      </c>
    </row>
    <row r="7" spans="1:9" ht="12.75">
      <c r="A7" s="25" t="s">
        <v>28</v>
      </c>
      <c r="B7" s="25" t="s">
        <v>29</v>
      </c>
      <c r="C7" s="25" t="s">
        <v>29</v>
      </c>
      <c r="D7" s="25" t="s">
        <v>30</v>
      </c>
      <c r="E7" s="25" t="s">
        <v>31</v>
      </c>
      <c r="F7" s="25" t="s">
        <v>32</v>
      </c>
      <c r="G7" s="25" t="s">
        <v>61</v>
      </c>
      <c r="H7" s="25"/>
      <c r="I7" s="25"/>
    </row>
    <row r="8" spans="1:9" ht="12.75">
      <c r="A8" s="25"/>
      <c r="B8" s="25" t="s">
        <v>34</v>
      </c>
      <c r="C8" s="25" t="s">
        <v>35</v>
      </c>
      <c r="D8" s="25" t="s">
        <v>36</v>
      </c>
      <c r="E8" s="25" t="s">
        <v>6</v>
      </c>
      <c r="F8" s="25"/>
      <c r="G8" s="25" t="s">
        <v>62</v>
      </c>
      <c r="H8" s="25"/>
      <c r="I8" s="25"/>
    </row>
    <row r="9" spans="1:9" ht="12.75">
      <c r="A9" s="25"/>
      <c r="B9" s="25" t="s">
        <v>37</v>
      </c>
      <c r="C9" s="25"/>
      <c r="D9" s="25" t="s">
        <v>63</v>
      </c>
      <c r="E9" s="25"/>
      <c r="F9" s="25"/>
      <c r="G9" s="25"/>
      <c r="H9" s="25"/>
      <c r="I9" s="25"/>
    </row>
    <row r="10" spans="1:9" ht="12.7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2.75">
      <c r="A11" s="25" t="s">
        <v>38</v>
      </c>
      <c r="B11" s="25">
        <v>1</v>
      </c>
      <c r="C11" s="8">
        <v>0.5</v>
      </c>
      <c r="D11" s="8">
        <f>1000*E11</f>
        <v>300</v>
      </c>
      <c r="E11" s="26">
        <v>0.3</v>
      </c>
      <c r="F11" s="26">
        <f>E11</f>
        <v>0.3</v>
      </c>
      <c r="G11" s="26">
        <f>1-F11</f>
        <v>0.7</v>
      </c>
      <c r="H11" s="3"/>
      <c r="I11" s="3"/>
    </row>
    <row r="12" spans="1:9" ht="12.75">
      <c r="A12" s="25" t="s">
        <v>39</v>
      </c>
      <c r="B12" s="25">
        <v>1.5</v>
      </c>
      <c r="C12" s="8">
        <v>1.25</v>
      </c>
      <c r="D12" s="8">
        <f aca="true" t="shared" si="0" ref="D12:D18">1000*E12</f>
        <v>400</v>
      </c>
      <c r="E12" s="26">
        <v>0.4</v>
      </c>
      <c r="F12" s="26">
        <f>F11+E12</f>
        <v>0.7</v>
      </c>
      <c r="G12" s="26">
        <f aca="true" t="shared" si="1" ref="G12:G18">1-F12</f>
        <v>0.30000000000000004</v>
      </c>
      <c r="H12" s="3"/>
      <c r="I12" s="3"/>
    </row>
    <row r="13" spans="1:9" ht="12.75">
      <c r="A13" s="25" t="s">
        <v>40</v>
      </c>
      <c r="B13" s="25">
        <v>2</v>
      </c>
      <c r="C13" s="8">
        <v>1.75</v>
      </c>
      <c r="D13" s="8">
        <f t="shared" si="0"/>
        <v>100</v>
      </c>
      <c r="E13" s="26">
        <v>0.1</v>
      </c>
      <c r="F13" s="26">
        <f aca="true" t="shared" si="2" ref="F13:F18">F12+E13</f>
        <v>0.7999999999999999</v>
      </c>
      <c r="G13" s="26">
        <f t="shared" si="1"/>
        <v>0.20000000000000007</v>
      </c>
      <c r="H13" s="3"/>
      <c r="I13" s="3"/>
    </row>
    <row r="14" spans="1:9" ht="12.75">
      <c r="A14" s="25" t="s">
        <v>41</v>
      </c>
      <c r="B14" s="25">
        <v>2.5</v>
      </c>
      <c r="C14" s="8">
        <v>2.25</v>
      </c>
      <c r="D14" s="8">
        <f t="shared" si="0"/>
        <v>50</v>
      </c>
      <c r="E14" s="26">
        <v>0.05</v>
      </c>
      <c r="F14" s="26">
        <f t="shared" si="2"/>
        <v>0.85</v>
      </c>
      <c r="G14" s="26">
        <f t="shared" si="1"/>
        <v>0.15000000000000002</v>
      </c>
      <c r="H14" s="3"/>
      <c r="I14" s="3"/>
    </row>
    <row r="15" spans="1:9" ht="12.75">
      <c r="A15" s="25" t="s">
        <v>42</v>
      </c>
      <c r="B15" s="25">
        <v>3</v>
      </c>
      <c r="C15" s="8">
        <v>2.75</v>
      </c>
      <c r="D15" s="8">
        <f t="shared" si="0"/>
        <v>50</v>
      </c>
      <c r="E15" s="26">
        <v>0.05</v>
      </c>
      <c r="F15" s="26">
        <f t="shared" si="2"/>
        <v>0.9</v>
      </c>
      <c r="G15" s="26">
        <f t="shared" si="1"/>
        <v>0.09999999999999998</v>
      </c>
      <c r="H15" s="3"/>
      <c r="I15" s="3"/>
    </row>
    <row r="16" spans="1:9" ht="12.75">
      <c r="A16" s="25" t="s">
        <v>43</v>
      </c>
      <c r="B16" s="25">
        <v>4</v>
      </c>
      <c r="C16" s="8">
        <v>3.5</v>
      </c>
      <c r="D16" s="8">
        <f t="shared" si="0"/>
        <v>50</v>
      </c>
      <c r="E16" s="26">
        <v>0.05</v>
      </c>
      <c r="F16" s="26">
        <f t="shared" si="2"/>
        <v>0.9500000000000001</v>
      </c>
      <c r="G16" s="26">
        <f t="shared" si="1"/>
        <v>0.04999999999999993</v>
      </c>
      <c r="H16" s="3"/>
      <c r="I16" s="3"/>
    </row>
    <row r="17" spans="1:9" ht="12.75">
      <c r="A17" s="25" t="s">
        <v>44</v>
      </c>
      <c r="B17" s="25">
        <v>8</v>
      </c>
      <c r="C17" s="8">
        <v>6</v>
      </c>
      <c r="D17" s="8">
        <f t="shared" si="0"/>
        <v>40</v>
      </c>
      <c r="E17" s="26">
        <v>0.04</v>
      </c>
      <c r="F17" s="26">
        <f t="shared" si="2"/>
        <v>0.9900000000000001</v>
      </c>
      <c r="G17" s="26">
        <f t="shared" si="1"/>
        <v>0.009999999999999898</v>
      </c>
      <c r="H17" s="3"/>
      <c r="I17" s="3"/>
    </row>
    <row r="18" spans="1:9" ht="12.75">
      <c r="A18" s="25" t="s">
        <v>45</v>
      </c>
      <c r="B18" s="25" t="s">
        <v>46</v>
      </c>
      <c r="C18" s="8">
        <v>10</v>
      </c>
      <c r="D18" s="8">
        <f t="shared" si="0"/>
        <v>10</v>
      </c>
      <c r="E18" s="26">
        <v>0.01</v>
      </c>
      <c r="F18" s="26">
        <f t="shared" si="2"/>
        <v>1</v>
      </c>
      <c r="G18" s="26">
        <f t="shared" si="1"/>
        <v>0</v>
      </c>
      <c r="H18" s="3"/>
      <c r="I18" s="3"/>
    </row>
    <row r="19" spans="1:9" ht="12.75">
      <c r="A19" s="25" t="s">
        <v>47</v>
      </c>
      <c r="B19" s="25"/>
      <c r="C19" s="8"/>
      <c r="D19" s="8">
        <f>SUM(D11:D18)</f>
        <v>1000</v>
      </c>
      <c r="E19" s="26">
        <f>SUM(E11:E18)</f>
        <v>1</v>
      </c>
      <c r="F19" s="8"/>
      <c r="G19" s="26"/>
      <c r="H19" s="3"/>
      <c r="I19" s="3"/>
    </row>
    <row r="21" spans="1:2" ht="12.75">
      <c r="A21" s="6" t="s">
        <v>96</v>
      </c>
      <c r="B21" s="8">
        <v>7</v>
      </c>
    </row>
    <row r="22" spans="4:11" ht="12.75">
      <c r="D22" s="27" t="s">
        <v>87</v>
      </c>
      <c r="E22" s="27" t="s">
        <v>88</v>
      </c>
      <c r="F22" s="27" t="s">
        <v>48</v>
      </c>
      <c r="G22" s="27" t="s">
        <v>49</v>
      </c>
      <c r="H22" s="27" t="s">
        <v>50</v>
      </c>
      <c r="I22" s="25" t="s">
        <v>51</v>
      </c>
      <c r="J22" s="25" t="s">
        <v>51</v>
      </c>
      <c r="K22" s="25" t="s">
        <v>51</v>
      </c>
    </row>
    <row r="23" spans="1:11" ht="12.75">
      <c r="A23" s="8" t="s">
        <v>2</v>
      </c>
      <c r="B23" s="8" t="s">
        <v>32</v>
      </c>
      <c r="C23" s="8" t="s">
        <v>33</v>
      </c>
      <c r="D23" s="27"/>
      <c r="E23" s="27"/>
      <c r="F23" s="27"/>
      <c r="G23" s="27"/>
      <c r="H23" s="27"/>
      <c r="I23" s="25" t="s">
        <v>52</v>
      </c>
      <c r="J23" s="25" t="s">
        <v>53</v>
      </c>
      <c r="K23" s="25" t="s">
        <v>67</v>
      </c>
    </row>
    <row r="24" spans="1:11" ht="12.75">
      <c r="A24" s="8"/>
      <c r="B24" s="8"/>
      <c r="C24" s="8"/>
      <c r="D24" s="27"/>
      <c r="E24" s="27"/>
      <c r="F24" s="27"/>
      <c r="G24" s="27"/>
      <c r="H24" s="27"/>
      <c r="I24" s="25"/>
      <c r="J24" s="25"/>
      <c r="K24" s="25"/>
    </row>
    <row r="25" spans="1:11" ht="12.75">
      <c r="A25" s="8"/>
      <c r="B25" s="8"/>
      <c r="C25" s="8"/>
      <c r="D25" s="27"/>
      <c r="E25" s="27"/>
      <c r="F25" s="27"/>
      <c r="G25" s="27"/>
      <c r="H25" s="27"/>
      <c r="I25" s="8"/>
      <c r="J25" s="8"/>
      <c r="K25" s="8"/>
    </row>
    <row r="26" spans="1:11" ht="12.75">
      <c r="A26" s="12">
        <f>B11</f>
        <v>1</v>
      </c>
      <c r="B26" s="26">
        <f>F11</f>
        <v>0.3</v>
      </c>
      <c r="C26" s="26">
        <f>G11</f>
        <v>0.7</v>
      </c>
      <c r="D26" s="28">
        <f>LN(A26)</f>
        <v>0</v>
      </c>
      <c r="E26" s="29">
        <f>LN(C26)</f>
        <v>-0.35667494393873245</v>
      </c>
      <c r="F26" s="29">
        <f>D26*E26</f>
        <v>0</v>
      </c>
      <c r="G26" s="29">
        <f>D26^2</f>
        <v>0</v>
      </c>
      <c r="H26" s="29">
        <f>E26^2</f>
        <v>0.12721701563369794</v>
      </c>
      <c r="I26" s="7">
        <f aca="true" t="shared" si="3" ref="I26:I32">($C$42/A26)^$C$41</f>
        <v>0.7780037668198182</v>
      </c>
      <c r="J26" s="7">
        <f>1-I26</f>
        <v>0.2219962331801818</v>
      </c>
      <c r="K26" s="7">
        <f>J26</f>
        <v>0.2219962331801818</v>
      </c>
    </row>
    <row r="27" spans="1:11" ht="12.75">
      <c r="A27" s="12">
        <f aca="true" t="shared" si="4" ref="A27:A32">B12</f>
        <v>1.5</v>
      </c>
      <c r="B27" s="26">
        <f aca="true" t="shared" si="5" ref="B27:C32">F12</f>
        <v>0.7</v>
      </c>
      <c r="C27" s="26">
        <f t="shared" si="5"/>
        <v>0.30000000000000004</v>
      </c>
      <c r="D27" s="28">
        <f aca="true" t="shared" si="6" ref="D27:D32">LN(A27)</f>
        <v>0.4054651081081644</v>
      </c>
      <c r="E27" s="29">
        <f aca="true" t="shared" si="7" ref="E27:E32">LN(C27)</f>
        <v>-1.203972804325936</v>
      </c>
      <c r="F27" s="29">
        <f aca="true" t="shared" si="8" ref="F27:F32">D27*E27</f>
        <v>-0.48816896326530546</v>
      </c>
      <c r="G27" s="29">
        <f aca="true" t="shared" si="9" ref="G27:H32">D27^2</f>
        <v>0.16440195389316542</v>
      </c>
      <c r="H27" s="29">
        <f t="shared" si="9"/>
        <v>1.4495505135564584</v>
      </c>
      <c r="I27" s="7">
        <f t="shared" si="3"/>
        <v>0.3446089089826554</v>
      </c>
      <c r="J27" s="7">
        <f aca="true" t="shared" si="10" ref="J27:J33">1-I27</f>
        <v>0.6553910910173446</v>
      </c>
      <c r="K27" s="7">
        <f aca="true" t="shared" si="11" ref="K27:K32">J27-J26</f>
        <v>0.4333948578371628</v>
      </c>
    </row>
    <row r="28" spans="1:11" ht="12.75">
      <c r="A28" s="12">
        <f t="shared" si="4"/>
        <v>2</v>
      </c>
      <c r="B28" s="26">
        <f t="shared" si="5"/>
        <v>0.7999999999999999</v>
      </c>
      <c r="C28" s="26">
        <f t="shared" si="5"/>
        <v>0.20000000000000007</v>
      </c>
      <c r="D28" s="28">
        <f t="shared" si="6"/>
        <v>0.6931471805599453</v>
      </c>
      <c r="E28" s="29">
        <f t="shared" si="7"/>
        <v>-1.6094379124341</v>
      </c>
      <c r="F28" s="29">
        <f t="shared" si="8"/>
        <v>-1.1155773512899805</v>
      </c>
      <c r="G28" s="29">
        <f t="shared" si="9"/>
        <v>0.4804530139182014</v>
      </c>
      <c r="H28" s="29">
        <f t="shared" si="9"/>
        <v>2.5902903939802338</v>
      </c>
      <c r="I28" s="7">
        <f t="shared" si="3"/>
        <v>0.19337669970057894</v>
      </c>
      <c r="J28" s="7">
        <f t="shared" si="10"/>
        <v>0.8066233002994211</v>
      </c>
      <c r="K28" s="7">
        <f t="shared" si="11"/>
        <v>0.15123220928207648</v>
      </c>
    </row>
    <row r="29" spans="1:11" ht="12.75">
      <c r="A29" s="12">
        <f t="shared" si="4"/>
        <v>2.5</v>
      </c>
      <c r="B29" s="26">
        <f t="shared" si="5"/>
        <v>0.85</v>
      </c>
      <c r="C29" s="26">
        <f t="shared" si="5"/>
        <v>0.15000000000000002</v>
      </c>
      <c r="D29" s="28">
        <f t="shared" si="6"/>
        <v>0.9162907318741551</v>
      </c>
      <c r="E29" s="29">
        <f t="shared" si="7"/>
        <v>-1.897119984885881</v>
      </c>
      <c r="F29" s="29">
        <f t="shared" si="8"/>
        <v>-1.73831345940417</v>
      </c>
      <c r="G29" s="29">
        <f t="shared" si="9"/>
        <v>0.8395887053184748</v>
      </c>
      <c r="H29" s="29">
        <f t="shared" si="9"/>
        <v>3.5990642370534056</v>
      </c>
      <c r="I29" s="7">
        <f t="shared" si="3"/>
        <v>0.12353034185342261</v>
      </c>
      <c r="J29" s="7">
        <f t="shared" si="10"/>
        <v>0.8764696581465774</v>
      </c>
      <c r="K29" s="7">
        <f t="shared" si="11"/>
        <v>0.06984635784715632</v>
      </c>
    </row>
    <row r="30" spans="1:11" ht="12.75">
      <c r="A30" s="12">
        <f t="shared" si="4"/>
        <v>3</v>
      </c>
      <c r="B30" s="26">
        <f t="shared" si="5"/>
        <v>0.9</v>
      </c>
      <c r="C30" s="26">
        <f t="shared" si="5"/>
        <v>0.09999999999999998</v>
      </c>
      <c r="D30" s="28">
        <f t="shared" si="6"/>
        <v>1.0986122886681098</v>
      </c>
      <c r="E30" s="29">
        <f t="shared" si="7"/>
        <v>-2.302585092994046</v>
      </c>
      <c r="F30" s="29">
        <f t="shared" si="8"/>
        <v>-2.529648278867261</v>
      </c>
      <c r="G30" s="29">
        <f t="shared" si="9"/>
        <v>1.206948960812582</v>
      </c>
      <c r="H30" s="29">
        <f t="shared" si="9"/>
        <v>5.301898110478399</v>
      </c>
      <c r="I30" s="7">
        <f t="shared" si="3"/>
        <v>0.08565425560711508</v>
      </c>
      <c r="J30" s="7">
        <f t="shared" si="10"/>
        <v>0.914345744392885</v>
      </c>
      <c r="K30" s="7">
        <f t="shared" si="11"/>
        <v>0.03787608624630756</v>
      </c>
    </row>
    <row r="31" spans="1:11" ht="12.75">
      <c r="A31" s="12">
        <f t="shared" si="4"/>
        <v>4</v>
      </c>
      <c r="B31" s="26">
        <f t="shared" si="5"/>
        <v>0.9500000000000001</v>
      </c>
      <c r="C31" s="26">
        <f t="shared" si="5"/>
        <v>0.04999999999999993</v>
      </c>
      <c r="D31" s="28">
        <f t="shared" si="6"/>
        <v>1.3862943611198906</v>
      </c>
      <c r="E31" s="29">
        <f t="shared" si="7"/>
        <v>-2.995732273553992</v>
      </c>
      <c r="F31" s="29">
        <f t="shared" si="8"/>
        <v>-4.152966758252769</v>
      </c>
      <c r="G31" s="29">
        <f t="shared" si="9"/>
        <v>1.9218120556728056</v>
      </c>
      <c r="H31" s="29">
        <f t="shared" si="9"/>
        <v>8.97441185481297</v>
      </c>
      <c r="I31" s="7">
        <f t="shared" si="3"/>
        <v>0.04806473899212916</v>
      </c>
      <c r="J31" s="7">
        <f t="shared" si="10"/>
        <v>0.9519352610078708</v>
      </c>
      <c r="K31" s="7">
        <f t="shared" si="11"/>
        <v>0.037589516614985885</v>
      </c>
    </row>
    <row r="32" spans="1:11" ht="12.75">
      <c r="A32" s="12">
        <f t="shared" si="4"/>
        <v>8</v>
      </c>
      <c r="B32" s="26">
        <f t="shared" si="5"/>
        <v>0.9900000000000001</v>
      </c>
      <c r="C32" s="26">
        <f t="shared" si="5"/>
        <v>0.009999999999999898</v>
      </c>
      <c r="D32" s="28">
        <f t="shared" si="6"/>
        <v>2.0794415416798357</v>
      </c>
      <c r="E32" s="29">
        <f t="shared" si="7"/>
        <v>-4.605170185988102</v>
      </c>
      <c r="F32" s="29">
        <f t="shared" si="8"/>
        <v>-9.576182191249114</v>
      </c>
      <c r="G32" s="29">
        <f t="shared" si="9"/>
        <v>4.324077125263812</v>
      </c>
      <c r="H32" s="29">
        <f t="shared" si="9"/>
        <v>21.207592441913686</v>
      </c>
      <c r="I32" s="7">
        <f t="shared" si="3"/>
        <v>0.011946729559241647</v>
      </c>
      <c r="J32" s="7">
        <f t="shared" si="10"/>
        <v>0.9880532704407583</v>
      </c>
      <c r="K32" s="7">
        <f t="shared" si="11"/>
        <v>0.036118009432887455</v>
      </c>
    </row>
    <row r="33" spans="1:11" ht="12.75">
      <c r="A33" s="12"/>
      <c r="B33" s="26"/>
      <c r="C33" s="26"/>
      <c r="D33" s="30"/>
      <c r="G33" s="30"/>
      <c r="J33" s="7">
        <f t="shared" si="10"/>
        <v>1</v>
      </c>
      <c r="K33" s="7">
        <f>1-J32</f>
        <v>0.011946729559241698</v>
      </c>
    </row>
    <row r="34" spans="1:11" s="31" customFormat="1" ht="12.75">
      <c r="A34" s="27" t="s">
        <v>47</v>
      </c>
      <c r="B34" s="27"/>
      <c r="C34" s="27"/>
      <c r="D34" s="28">
        <f>SUM(D26:D32)</f>
        <v>6.579251212010101</v>
      </c>
      <c r="E34" s="27">
        <f>SUM(E26:E32)</f>
        <v>-14.970693198120788</v>
      </c>
      <c r="F34" s="27">
        <f>SUM(F26:F32)</f>
        <v>-19.6008570023286</v>
      </c>
      <c r="G34" s="28">
        <f>SUM(G26:G32)</f>
        <v>8.937281814879041</v>
      </c>
      <c r="H34" s="27">
        <f>SUM(H26:H32)</f>
        <v>43.25002456742885</v>
      </c>
      <c r="K34" s="29">
        <f>SUM(K26:K33)</f>
        <v>1</v>
      </c>
    </row>
    <row r="37" spans="2:6" ht="12.75">
      <c r="B37" s="31" t="s">
        <v>54</v>
      </c>
      <c r="C37" s="32">
        <f>(G34-(D34^2)/$B$21)</f>
        <v>2.7534894562024146</v>
      </c>
      <c r="D37" s="31"/>
      <c r="E37" s="31"/>
      <c r="F37" s="31"/>
    </row>
    <row r="38" spans="2:6" ht="12.75">
      <c r="B38" s="31" t="s">
        <v>55</v>
      </c>
      <c r="C38" s="32">
        <f>(H34-(E34^2)/$B$21)</f>
        <v>11.232645305677423</v>
      </c>
      <c r="D38" s="31"/>
      <c r="E38" s="27" t="s">
        <v>56</v>
      </c>
      <c r="F38" s="29">
        <f>((F34-D34*E34/$B$21)^2)/(C37*C38)</f>
        <v>0.9887485704825809</v>
      </c>
    </row>
    <row r="39" spans="2:6" ht="12.75">
      <c r="B39" s="31" t="s">
        <v>57</v>
      </c>
      <c r="C39" s="32">
        <f>((F34-D34*E34/$B$21)/(G34-D34^2/$B$21))</f>
        <v>-2.0083631678308467</v>
      </c>
      <c r="D39" s="31"/>
      <c r="E39" s="27" t="s">
        <v>58</v>
      </c>
      <c r="F39" s="29">
        <f>SQRT(F38)</f>
        <v>0.9943583712538356</v>
      </c>
    </row>
    <row r="40" spans="2:6" ht="12.75">
      <c r="B40" s="31" t="s">
        <v>59</v>
      </c>
      <c r="C40" s="32">
        <f>(E34/$B$21-C39*D34/$B$21)</f>
        <v>-0.2510239131447489</v>
      </c>
      <c r="D40" s="31"/>
      <c r="E40" s="31"/>
      <c r="F40" s="31"/>
    </row>
    <row r="41" spans="2:8" ht="12.75">
      <c r="B41" s="27" t="s">
        <v>60</v>
      </c>
      <c r="C41" s="29">
        <f>-C39</f>
        <v>2.0083631678308467</v>
      </c>
      <c r="D41" s="31"/>
      <c r="E41" s="47"/>
      <c r="F41" s="48"/>
      <c r="G41" s="49"/>
      <c r="H41" s="50"/>
    </row>
    <row r="42" spans="2:8" ht="12.75">
      <c r="B42" s="27" t="s">
        <v>70</v>
      </c>
      <c r="C42" s="29">
        <f>EXP(C40/C41)</f>
        <v>0.8825063424290712</v>
      </c>
      <c r="D42" s="31"/>
      <c r="E42" s="51"/>
      <c r="F42" s="52"/>
      <c r="G42" s="2"/>
      <c r="H42" s="53"/>
    </row>
    <row r="43" spans="2:8" ht="12.75">
      <c r="B43" s="31" t="s">
        <v>72</v>
      </c>
      <c r="C43" s="37">
        <f>C42*C41/(C41-1)</f>
        <v>1.7576933490384916</v>
      </c>
      <c r="D43" s="31"/>
      <c r="E43" s="54"/>
      <c r="F43" s="52"/>
      <c r="G43" s="2"/>
      <c r="H43" s="53"/>
    </row>
    <row r="44" spans="2:8" ht="12.75">
      <c r="B44" s="31" t="s">
        <v>73</v>
      </c>
      <c r="C44" s="33">
        <f>(C41*C42^2)/(((C41-1)^2)*(C41-2))</f>
        <v>183.93871936999597</v>
      </c>
      <c r="E44" s="51"/>
      <c r="F44" s="2"/>
      <c r="G44" s="2"/>
      <c r="H44" s="53"/>
    </row>
    <row r="45" spans="5:8" ht="12.75">
      <c r="E45" s="51"/>
      <c r="F45" s="2"/>
      <c r="G45" s="2"/>
      <c r="H45" s="53"/>
    </row>
    <row r="46" spans="5:8" ht="12.75">
      <c r="E46" s="55"/>
      <c r="F46" s="56"/>
      <c r="G46" s="56"/>
      <c r="H46" s="57"/>
    </row>
    <row r="48" spans="1:8" ht="12.75">
      <c r="A48" s="25" t="str">
        <f>A7</f>
        <v>Classi</v>
      </c>
      <c r="B48" s="8" t="str">
        <f>D7</f>
        <v>Numero</v>
      </c>
      <c r="C48" s="8" t="str">
        <f>F7</f>
        <v>F(x)</v>
      </c>
      <c r="D48" t="str">
        <f>G7</f>
        <v>H(x) =</v>
      </c>
      <c r="E48" t="str">
        <f>I22</f>
        <v>Valori teorici</v>
      </c>
      <c r="F48" s="8" t="str">
        <f>J22</f>
        <v>Valori teorici</v>
      </c>
      <c r="G48" t="str">
        <f>K22</f>
        <v>Valori teorici</v>
      </c>
      <c r="H48" s="8" t="s">
        <v>68</v>
      </c>
    </row>
    <row r="49" spans="1:8" ht="12.75">
      <c r="A49" s="25"/>
      <c r="B49" s="8" t="str">
        <f aca="true" t="shared" si="12" ref="B49:B60">D8</f>
        <v>sinistri</v>
      </c>
      <c r="C49" s="8"/>
      <c r="D49" t="str">
        <f>G8</f>
        <v>1-F(x)</v>
      </c>
      <c r="E49" t="str">
        <f>I23</f>
        <v>di H(x)</v>
      </c>
      <c r="F49" s="8" t="str">
        <f aca="true" t="shared" si="13" ref="F49:F59">J23</f>
        <v>di F(x)</v>
      </c>
      <c r="G49" t="str">
        <f aca="true" t="shared" si="14" ref="G49:G59">K23</f>
        <v>di f(x)</v>
      </c>
      <c r="H49" s="8" t="s">
        <v>36</v>
      </c>
    </row>
    <row r="50" spans="1:9" ht="12.75">
      <c r="A50" s="25"/>
      <c r="B50" s="8" t="str">
        <f t="shared" si="12"/>
        <v>effettivi</v>
      </c>
      <c r="C50" s="8"/>
      <c r="F50" s="8"/>
      <c r="H50" s="8" t="s">
        <v>69</v>
      </c>
      <c r="I50" s="8"/>
    </row>
    <row r="51" spans="1:9" ht="12.75">
      <c r="A51" s="25"/>
      <c r="B51" s="8"/>
      <c r="C51" s="8"/>
      <c r="F51" s="8"/>
      <c r="H51" s="8"/>
      <c r="I51" s="8"/>
    </row>
    <row r="52" spans="1:9" ht="12.75">
      <c r="A52" s="25" t="str">
        <f aca="true" t="shared" si="15" ref="A52:A60">A11</f>
        <v>da   0 a 1</v>
      </c>
      <c r="B52" s="8">
        <f t="shared" si="12"/>
        <v>300</v>
      </c>
      <c r="C52" s="26">
        <f aca="true" t="shared" si="16" ref="C52:D58">F11</f>
        <v>0.3</v>
      </c>
      <c r="D52" s="33">
        <f t="shared" si="16"/>
        <v>0.7</v>
      </c>
      <c r="E52" s="33">
        <f aca="true" t="shared" si="17" ref="E52:E59">I26</f>
        <v>0.7780037668198182</v>
      </c>
      <c r="F52" s="26">
        <f t="shared" si="13"/>
        <v>0.2219962331801818</v>
      </c>
      <c r="G52" s="33">
        <f t="shared" si="14"/>
        <v>0.2219962331801818</v>
      </c>
      <c r="H52" s="23">
        <f>G52*1000</f>
        <v>221.9962331801818</v>
      </c>
      <c r="I52" s="12">
        <f>((H52-B52)^2)/H52</f>
        <v>27.40851748210545</v>
      </c>
    </row>
    <row r="53" spans="1:9" ht="12.75">
      <c r="A53" s="25" t="str">
        <f t="shared" si="15"/>
        <v>da 1 a 1.5</v>
      </c>
      <c r="B53" s="8">
        <f t="shared" si="12"/>
        <v>400</v>
      </c>
      <c r="C53" s="26">
        <f t="shared" si="16"/>
        <v>0.7</v>
      </c>
      <c r="D53" s="33">
        <f t="shared" si="16"/>
        <v>0.30000000000000004</v>
      </c>
      <c r="E53" s="33">
        <f t="shared" si="17"/>
        <v>0.3446089089826554</v>
      </c>
      <c r="F53" s="26">
        <f t="shared" si="13"/>
        <v>0.6553910910173446</v>
      </c>
      <c r="G53" s="33">
        <f t="shared" si="14"/>
        <v>0.4333948578371628</v>
      </c>
      <c r="H53" s="23">
        <f aca="true" t="shared" si="18" ref="H53:H59">G53*1000</f>
        <v>433.3948578371628</v>
      </c>
      <c r="I53" s="12">
        <f aca="true" t="shared" si="19" ref="I53:I59">((H53-B53)^2)/H53</f>
        <v>2.573211264041645</v>
      </c>
    </row>
    <row r="54" spans="1:9" ht="12.75">
      <c r="A54" s="25" t="str">
        <f t="shared" si="15"/>
        <v>da 1.5 a 2</v>
      </c>
      <c r="B54" s="8">
        <f t="shared" si="12"/>
        <v>100</v>
      </c>
      <c r="C54" s="26">
        <f t="shared" si="16"/>
        <v>0.7999999999999999</v>
      </c>
      <c r="D54" s="33">
        <f t="shared" si="16"/>
        <v>0.20000000000000007</v>
      </c>
      <c r="E54" s="33">
        <f t="shared" si="17"/>
        <v>0.19337669970057894</v>
      </c>
      <c r="F54" s="26">
        <f t="shared" si="13"/>
        <v>0.8066233002994211</v>
      </c>
      <c r="G54" s="33">
        <f t="shared" si="14"/>
        <v>0.15123220928207648</v>
      </c>
      <c r="H54" s="23">
        <f t="shared" si="18"/>
        <v>151.23220928207647</v>
      </c>
      <c r="I54" s="12">
        <f t="shared" si="19"/>
        <v>17.355689508091828</v>
      </c>
    </row>
    <row r="55" spans="1:9" ht="12.75">
      <c r="A55" s="25" t="str">
        <f t="shared" si="15"/>
        <v>da 2 a 2.5</v>
      </c>
      <c r="B55" s="8">
        <f t="shared" si="12"/>
        <v>50</v>
      </c>
      <c r="C55" s="26">
        <f t="shared" si="16"/>
        <v>0.85</v>
      </c>
      <c r="D55" s="33">
        <f t="shared" si="16"/>
        <v>0.15000000000000002</v>
      </c>
      <c r="E55" s="33">
        <f t="shared" si="17"/>
        <v>0.12353034185342261</v>
      </c>
      <c r="F55" s="26">
        <f t="shared" si="13"/>
        <v>0.8764696581465774</v>
      </c>
      <c r="G55" s="33">
        <f t="shared" si="14"/>
        <v>0.06984635784715632</v>
      </c>
      <c r="H55" s="23">
        <f t="shared" si="18"/>
        <v>69.84635784715631</v>
      </c>
      <c r="I55" s="12">
        <f t="shared" si="19"/>
        <v>5.639204848151135</v>
      </c>
    </row>
    <row r="56" spans="1:9" ht="12.75">
      <c r="A56" s="25" t="str">
        <f t="shared" si="15"/>
        <v>da 2.5 a 3</v>
      </c>
      <c r="B56" s="8">
        <f t="shared" si="12"/>
        <v>50</v>
      </c>
      <c r="C56" s="26">
        <f t="shared" si="16"/>
        <v>0.9</v>
      </c>
      <c r="D56" s="33">
        <f t="shared" si="16"/>
        <v>0.09999999999999998</v>
      </c>
      <c r="E56" s="33">
        <f t="shared" si="17"/>
        <v>0.08565425560711508</v>
      </c>
      <c r="F56" s="26">
        <f t="shared" si="13"/>
        <v>0.914345744392885</v>
      </c>
      <c r="G56" s="33">
        <f t="shared" si="14"/>
        <v>0.03787608624630756</v>
      </c>
      <c r="H56" s="23">
        <f t="shared" si="18"/>
        <v>37.87608624630756</v>
      </c>
      <c r="I56" s="12">
        <f t="shared" si="19"/>
        <v>3.8807939065061756</v>
      </c>
    </row>
    <row r="57" spans="1:9" ht="12.75">
      <c r="A57" s="25" t="str">
        <f t="shared" si="15"/>
        <v>da   3 a 4</v>
      </c>
      <c r="B57" s="8">
        <f t="shared" si="12"/>
        <v>50</v>
      </c>
      <c r="C57" s="26">
        <f t="shared" si="16"/>
        <v>0.9500000000000001</v>
      </c>
      <c r="D57" s="33">
        <f t="shared" si="16"/>
        <v>0.04999999999999993</v>
      </c>
      <c r="E57" s="33">
        <f t="shared" si="17"/>
        <v>0.04806473899212916</v>
      </c>
      <c r="F57" s="26">
        <f t="shared" si="13"/>
        <v>0.9519352610078708</v>
      </c>
      <c r="G57" s="33">
        <f t="shared" si="14"/>
        <v>0.037589516614985885</v>
      </c>
      <c r="H57" s="23">
        <f t="shared" si="18"/>
        <v>37.58951661498588</v>
      </c>
      <c r="I57" s="12">
        <f t="shared" si="19"/>
        <v>4.097421614310092</v>
      </c>
    </row>
    <row r="58" spans="1:9" ht="12.75">
      <c r="A58" s="25" t="str">
        <f t="shared" si="15"/>
        <v>da   4 a 8</v>
      </c>
      <c r="B58" s="8">
        <f t="shared" si="12"/>
        <v>40</v>
      </c>
      <c r="C58" s="26">
        <f t="shared" si="16"/>
        <v>0.9900000000000001</v>
      </c>
      <c r="D58" s="33">
        <f t="shared" si="16"/>
        <v>0.009999999999999898</v>
      </c>
      <c r="E58" s="33">
        <f t="shared" si="17"/>
        <v>0.011946729559241647</v>
      </c>
      <c r="F58" s="26">
        <f t="shared" si="13"/>
        <v>0.9880532704407583</v>
      </c>
      <c r="G58" s="33">
        <f t="shared" si="14"/>
        <v>0.036118009432887455</v>
      </c>
      <c r="H58" s="23">
        <f t="shared" si="18"/>
        <v>36.118009432887455</v>
      </c>
      <c r="I58" s="12">
        <f t="shared" si="19"/>
        <v>0.41723923881111913</v>
      </c>
    </row>
    <row r="59" spans="1:9" ht="12.75">
      <c r="A59" s="25" t="str">
        <f t="shared" si="15"/>
        <v>da   8 a 12</v>
      </c>
      <c r="B59" s="8">
        <f t="shared" si="12"/>
        <v>10</v>
      </c>
      <c r="C59" s="26">
        <f>F18</f>
        <v>1</v>
      </c>
      <c r="D59">
        <v>0</v>
      </c>
      <c r="E59" s="33">
        <f t="shared" si="17"/>
        <v>0</v>
      </c>
      <c r="F59" s="26">
        <f t="shared" si="13"/>
        <v>1</v>
      </c>
      <c r="G59" s="33">
        <f t="shared" si="14"/>
        <v>0.011946729559241698</v>
      </c>
      <c r="H59" s="23">
        <f t="shared" si="18"/>
        <v>11.946729559241698</v>
      </c>
      <c r="I59" s="12">
        <f t="shared" si="19"/>
        <v>0.3172212075307013</v>
      </c>
    </row>
    <row r="60" spans="1:9" ht="12.75">
      <c r="A60" s="25" t="str">
        <f t="shared" si="15"/>
        <v>Totali</v>
      </c>
      <c r="B60" s="8">
        <f t="shared" si="12"/>
        <v>1000</v>
      </c>
      <c r="C60" s="33"/>
      <c r="F60" s="8"/>
      <c r="H60" s="23">
        <f>SUM(H52:H59)</f>
        <v>1000</v>
      </c>
      <c r="I60" s="12">
        <f>SUM(I52:I59)</f>
        <v>61.689299069548156</v>
      </c>
    </row>
    <row r="61" ht="12.75">
      <c r="F61" s="8"/>
    </row>
  </sheetData>
  <sheetProtection/>
  <printOptions/>
  <pageMargins left="0.75" right="0.75" top="1" bottom="1" header="0.5" footer="0.5"/>
  <pageSetup horizontalDpi="360" verticalDpi="360" orientation="portrait" paperSize="9" r:id="rId5"/>
  <legacyDrawing r:id="rId4"/>
  <oleObjects>
    <oleObject progId="Equation.3" shapeId="1022001" r:id="rId1"/>
    <oleObject progId="Equation.3" shapeId="1353509" r:id="rId2"/>
    <oleObject progId="Equation.3" shapeId="40367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30">
      <selection activeCell="A59" sqref="A59"/>
    </sheetView>
  </sheetViews>
  <sheetFormatPr defaultColWidth="9.140625" defaultRowHeight="12.75"/>
  <cols>
    <col min="1" max="1" width="18.7109375" style="0" customWidth="1"/>
    <col min="2" max="2" width="15.421875" style="0" customWidth="1"/>
    <col min="3" max="5" width="14.57421875" style="0" customWidth="1"/>
    <col min="6" max="6" width="17.00390625" style="0" customWidth="1"/>
    <col min="8" max="8" width="16.7109375" style="0" bestFit="1" customWidth="1"/>
  </cols>
  <sheetData>
    <row r="2" spans="1:8" ht="15.75">
      <c r="A2" s="24" t="s">
        <v>25</v>
      </c>
      <c r="C2" s="24" t="s">
        <v>26</v>
      </c>
      <c r="H2" s="24" t="s">
        <v>84</v>
      </c>
    </row>
    <row r="3" ht="15.75">
      <c r="A3" s="24" t="s">
        <v>85</v>
      </c>
    </row>
    <row r="5" ht="12.75">
      <c r="G5" s="34"/>
    </row>
    <row r="6" spans="3:7" ht="12.75">
      <c r="C6" t="s">
        <v>92</v>
      </c>
      <c r="G6" s="44" t="s">
        <v>93</v>
      </c>
    </row>
    <row r="7" spans="1:7" ht="12.75">
      <c r="A7" s="42" t="s">
        <v>89</v>
      </c>
      <c r="B7" s="25" t="s">
        <v>90</v>
      </c>
      <c r="C7" s="8"/>
      <c r="D7" s="8"/>
      <c r="E7" s="8"/>
      <c r="G7" s="25" t="s">
        <v>69</v>
      </c>
    </row>
    <row r="8" spans="1:7" ht="12.75">
      <c r="A8" s="19" t="s">
        <v>1</v>
      </c>
      <c r="B8" s="43" t="s">
        <v>71</v>
      </c>
      <c r="C8" s="19" t="s">
        <v>91</v>
      </c>
      <c r="D8" s="19" t="s">
        <v>74</v>
      </c>
      <c r="E8" s="19" t="s">
        <v>80</v>
      </c>
      <c r="F8" s="39" t="s">
        <v>77</v>
      </c>
      <c r="G8" s="45" t="s">
        <v>78</v>
      </c>
    </row>
    <row r="9" spans="1:5" ht="12.75">
      <c r="A9" s="19" t="s">
        <v>2</v>
      </c>
      <c r="B9" s="20"/>
      <c r="C9" s="20" t="s">
        <v>5</v>
      </c>
      <c r="D9" s="20" t="s">
        <v>75</v>
      </c>
      <c r="E9" s="20" t="s">
        <v>76</v>
      </c>
    </row>
    <row r="10" spans="1:5" ht="12.75">
      <c r="A10" s="19"/>
      <c r="B10" s="8"/>
      <c r="C10" s="8"/>
      <c r="D10" s="8"/>
      <c r="E10" s="8"/>
    </row>
    <row r="11" spans="1:8" ht="12.75">
      <c r="A11" s="35">
        <v>0.25</v>
      </c>
      <c r="B11" s="36">
        <v>0.125</v>
      </c>
      <c r="C11" s="21">
        <v>4346</v>
      </c>
      <c r="D11" s="21">
        <f>C11/$C$22</f>
        <v>0.4346</v>
      </c>
      <c r="E11" s="21">
        <f>D11</f>
        <v>0.4346</v>
      </c>
      <c r="F11" s="40">
        <f>((B11-$B$24)^2)*D11</f>
        <v>7.270432206150406</v>
      </c>
      <c r="G11" s="7">
        <f aca="true" t="shared" si="0" ref="G11:G19">GAMMADIST(A11,$B$29,$B$28,TRUE)</f>
        <v>0.619536612959605</v>
      </c>
      <c r="H11" s="33"/>
    </row>
    <row r="12" spans="1:8" ht="12.75">
      <c r="A12" s="35">
        <v>0.5</v>
      </c>
      <c r="B12" s="36">
        <f>A11+(A12-A11)/2</f>
        <v>0.375</v>
      </c>
      <c r="C12" s="21">
        <v>1231</v>
      </c>
      <c r="D12" s="21">
        <f aca="true" t="shared" si="1" ref="D12:D20">C12/$C$22</f>
        <v>0.1231</v>
      </c>
      <c r="E12" s="38">
        <f>E11+D12</f>
        <v>0.5577</v>
      </c>
      <c r="F12" s="40">
        <f aca="true" t="shared" si="2" ref="F12:F20">((B12-$B$24)^2)*D12</f>
        <v>1.8152897199579845</v>
      </c>
      <c r="G12" s="7">
        <f t="shared" si="0"/>
        <v>0.6655318491642005</v>
      </c>
      <c r="H12" s="33"/>
    </row>
    <row r="13" spans="1:8" ht="12.75">
      <c r="A13" s="35">
        <v>1</v>
      </c>
      <c r="B13" s="36">
        <f aca="true" t="shared" si="3" ref="B13:B19">A12+(A13-A12)/2</f>
        <v>0.75</v>
      </c>
      <c r="C13" s="21">
        <v>1423</v>
      </c>
      <c r="D13" s="21">
        <f t="shared" si="1"/>
        <v>0.1423</v>
      </c>
      <c r="E13" s="38">
        <f aca="true" t="shared" si="4" ref="E13:E20">E12+D13</f>
        <v>0.7</v>
      </c>
      <c r="F13" s="40">
        <f t="shared" si="2"/>
        <v>1.7085967599384844</v>
      </c>
      <c r="G13" s="7">
        <f t="shared" si="0"/>
        <v>0.7145302932804174</v>
      </c>
      <c r="H13" s="33"/>
    </row>
    <row r="14" spans="1:8" ht="12.75">
      <c r="A14" s="35">
        <v>2</v>
      </c>
      <c r="B14" s="36">
        <f t="shared" si="3"/>
        <v>1.5</v>
      </c>
      <c r="C14" s="21">
        <v>846</v>
      </c>
      <c r="D14" s="21">
        <f t="shared" si="1"/>
        <v>0.0846</v>
      </c>
      <c r="E14" s="38">
        <f t="shared" si="4"/>
        <v>0.7846</v>
      </c>
      <c r="F14" s="40">
        <f t="shared" si="2"/>
        <v>0.6236573160957187</v>
      </c>
      <c r="G14" s="7">
        <f t="shared" si="0"/>
        <v>0.7662637279672854</v>
      </c>
      <c r="H14" s="33"/>
    </row>
    <row r="15" spans="1:8" ht="12.75">
      <c r="A15" s="35">
        <v>4</v>
      </c>
      <c r="B15" s="36">
        <f t="shared" si="3"/>
        <v>3</v>
      </c>
      <c r="C15" s="21">
        <v>462</v>
      </c>
      <c r="D15" s="21">
        <f t="shared" si="1"/>
        <v>0.0462</v>
      </c>
      <c r="E15" s="38">
        <f t="shared" si="4"/>
        <v>0.8308</v>
      </c>
      <c r="F15" s="40">
        <f t="shared" si="2"/>
        <v>0.06821422550971876</v>
      </c>
      <c r="G15" s="7">
        <f t="shared" si="0"/>
        <v>0.8199189425523621</v>
      </c>
      <c r="H15" s="33"/>
    </row>
    <row r="16" spans="1:8" ht="12.75">
      <c r="A16" s="35">
        <v>8</v>
      </c>
      <c r="B16" s="36">
        <f t="shared" si="3"/>
        <v>6</v>
      </c>
      <c r="C16" s="21">
        <v>692</v>
      </c>
      <c r="D16" s="21">
        <f t="shared" si="1"/>
        <v>0.0692</v>
      </c>
      <c r="E16" s="38">
        <f t="shared" si="4"/>
        <v>0.9</v>
      </c>
      <c r="F16" s="40">
        <f t="shared" si="2"/>
        <v>0.22045897842581247</v>
      </c>
      <c r="G16" s="7">
        <f t="shared" si="0"/>
        <v>0.8736224352501146</v>
      </c>
      <c r="H16" s="33"/>
    </row>
    <row r="17" spans="1:8" ht="12.75">
      <c r="A17" s="35">
        <v>16</v>
      </c>
      <c r="B17" s="36">
        <f t="shared" si="3"/>
        <v>12</v>
      </c>
      <c r="C17" s="21">
        <v>346</v>
      </c>
      <c r="D17" s="21">
        <f t="shared" si="1"/>
        <v>0.0346</v>
      </c>
      <c r="E17" s="38">
        <f t="shared" si="4"/>
        <v>0.9346</v>
      </c>
      <c r="F17" s="40">
        <f t="shared" si="2"/>
        <v>2.096914779212906</v>
      </c>
      <c r="G17" s="7">
        <f t="shared" si="0"/>
        <v>0.9237066263912223</v>
      </c>
      <c r="H17" s="33"/>
    </row>
    <row r="18" spans="1:8" ht="12.75">
      <c r="A18" s="35">
        <v>32</v>
      </c>
      <c r="B18" s="36">
        <f t="shared" si="3"/>
        <v>24</v>
      </c>
      <c r="C18" s="21">
        <v>346</v>
      </c>
      <c r="D18" s="21">
        <f t="shared" si="1"/>
        <v>0.0346</v>
      </c>
      <c r="E18" s="38">
        <f t="shared" si="4"/>
        <v>0.9692</v>
      </c>
      <c r="F18" s="40">
        <f t="shared" si="2"/>
        <v>13.543885359212906</v>
      </c>
      <c r="G18" s="7">
        <f t="shared" si="0"/>
        <v>0.9643295445869793</v>
      </c>
      <c r="H18" s="33"/>
    </row>
    <row r="19" spans="1:8" ht="12.75">
      <c r="A19" s="35">
        <v>64</v>
      </c>
      <c r="B19" s="36">
        <f t="shared" si="3"/>
        <v>48</v>
      </c>
      <c r="C19" s="21">
        <v>192</v>
      </c>
      <c r="D19" s="21">
        <f t="shared" si="1"/>
        <v>0.0192</v>
      </c>
      <c r="E19" s="38">
        <f t="shared" si="4"/>
        <v>0.9884</v>
      </c>
      <c r="F19" s="40">
        <f t="shared" si="2"/>
        <v>36.80863436904299</v>
      </c>
      <c r="G19" s="7">
        <f t="shared" si="0"/>
        <v>0.9894263748831126</v>
      </c>
      <c r="H19" s="33"/>
    </row>
    <row r="20" spans="1:8" ht="12.75">
      <c r="A20" s="19" t="s">
        <v>3</v>
      </c>
      <c r="B20" s="36">
        <v>100</v>
      </c>
      <c r="C20" s="21">
        <v>116</v>
      </c>
      <c r="D20" s="21">
        <f t="shared" si="1"/>
        <v>0.0116</v>
      </c>
      <c r="E20" s="38">
        <f t="shared" si="4"/>
        <v>1</v>
      </c>
      <c r="F20" s="40">
        <f t="shared" si="2"/>
        <v>106.42703821129679</v>
      </c>
      <c r="G20" s="7">
        <v>1</v>
      </c>
      <c r="H20" s="33"/>
    </row>
    <row r="21" spans="1:7" ht="12.75">
      <c r="A21" s="1"/>
      <c r="B21" s="2"/>
      <c r="C21" s="2"/>
      <c r="D21" s="2"/>
      <c r="E21" s="2"/>
      <c r="F21" s="8"/>
      <c r="G21" s="8"/>
    </row>
    <row r="22" spans="2:8" ht="12.75">
      <c r="B22" s="2"/>
      <c r="C22" s="2">
        <f>SUM(C11:C20)</f>
        <v>10000</v>
      </c>
      <c r="D22" s="2">
        <f>SUM(D11:D20)</f>
        <v>1</v>
      </c>
      <c r="E22" s="2"/>
      <c r="F22" s="41">
        <f>SUM(F11:F20)</f>
        <v>170.58312192484374</v>
      </c>
      <c r="G22" s="21"/>
      <c r="H22" s="2"/>
    </row>
    <row r="24" spans="1:2" ht="12.75">
      <c r="A24" s="8" t="s">
        <v>72</v>
      </c>
      <c r="B24" s="46">
        <f>(SUMPRODUCT(B11:B20,C11:C20))/C22</f>
        <v>4.2151125</v>
      </c>
    </row>
    <row r="25" spans="1:2" ht="12.75">
      <c r="A25" s="8"/>
      <c r="B25" s="40"/>
    </row>
    <row r="26" spans="1:2" ht="12.75">
      <c r="A26" s="8" t="s">
        <v>73</v>
      </c>
      <c r="B26" s="40">
        <f>F22</f>
        <v>170.58312192484374</v>
      </c>
    </row>
    <row r="27" spans="1:2" ht="12.75">
      <c r="A27" s="8"/>
      <c r="B27" s="40"/>
    </row>
    <row r="28" spans="1:2" ht="12.75">
      <c r="A28" s="8" t="s">
        <v>94</v>
      </c>
      <c r="B28" s="40">
        <f>B26/B24</f>
        <v>40.46941141543523</v>
      </c>
    </row>
    <row r="29" spans="1:2" ht="12.75">
      <c r="A29" s="8" t="s">
        <v>95</v>
      </c>
      <c r="B29" s="40">
        <f>B24/B28</f>
        <v>0.1041555177744032</v>
      </c>
    </row>
    <row r="32" spans="1:4" s="8" customFormat="1" ht="12.75">
      <c r="A32" s="8" t="str">
        <f>A7</f>
        <v>Estremo superiore </v>
      </c>
      <c r="B32" s="6" t="s">
        <v>79</v>
      </c>
      <c r="D32" s="8" t="s">
        <v>80</v>
      </c>
    </row>
    <row r="33" spans="1:6" s="8" customFormat="1" ht="12.75">
      <c r="A33" s="8" t="str">
        <f aca="true" t="shared" si="5" ref="A33:A44">A8</f>
        <v>della classe</v>
      </c>
      <c r="B33" s="8" t="str">
        <f>C8</f>
        <v>Numero sinistri</v>
      </c>
      <c r="C33" s="8" t="str">
        <f>E8</f>
        <v>Distribuzione</v>
      </c>
      <c r="D33" s="8" t="str">
        <f>G8</f>
        <v>Gamma</v>
      </c>
      <c r="E33" s="8" t="s">
        <v>83</v>
      </c>
      <c r="F33" s="8" t="s">
        <v>82</v>
      </c>
    </row>
    <row r="34" spans="1:6" s="8" customFormat="1" ht="12.75">
      <c r="A34" s="8" t="str">
        <f t="shared" si="5"/>
        <v>x</v>
      </c>
      <c r="B34" s="8" t="str">
        <f aca="true" t="shared" si="6" ref="B34:B45">C9</f>
        <v>n(x)</v>
      </c>
      <c r="C34" s="8" t="str">
        <f aca="true" t="shared" si="7" ref="C34:C45">E9</f>
        <v>F (x)</v>
      </c>
      <c r="D34" s="8" t="s">
        <v>81</v>
      </c>
      <c r="E34" s="8" t="s">
        <v>81</v>
      </c>
      <c r="F34" s="8" t="s">
        <v>69</v>
      </c>
    </row>
    <row r="35" s="8" customFormat="1" ht="12.75">
      <c r="C35" s="7"/>
    </row>
    <row r="36" spans="1:7" s="8" customFormat="1" ht="12.75">
      <c r="A36" s="40">
        <f t="shared" si="5"/>
        <v>0.25</v>
      </c>
      <c r="B36" s="8">
        <f t="shared" si="6"/>
        <v>4346</v>
      </c>
      <c r="C36" s="7">
        <f t="shared" si="7"/>
        <v>0.4346</v>
      </c>
      <c r="D36" s="7">
        <f>G11</f>
        <v>0.619536612959605</v>
      </c>
      <c r="E36" s="7">
        <f>D36</f>
        <v>0.619536612959605</v>
      </c>
      <c r="F36" s="12">
        <f>E36*$B$48</f>
        <v>6195.36612959605</v>
      </c>
      <c r="G36" s="12">
        <f>((F36-B36)^2)/F36</f>
        <v>552.0505180409855</v>
      </c>
    </row>
    <row r="37" spans="1:7" s="8" customFormat="1" ht="12.75">
      <c r="A37" s="40">
        <f t="shared" si="5"/>
        <v>0.5</v>
      </c>
      <c r="B37" s="8">
        <f t="shared" si="6"/>
        <v>1231</v>
      </c>
      <c r="C37" s="7">
        <f t="shared" si="7"/>
        <v>0.5577</v>
      </c>
      <c r="D37" s="7">
        <f aca="true" t="shared" si="8" ref="D37:D45">G12</f>
        <v>0.6655318491642005</v>
      </c>
      <c r="E37" s="7">
        <f>D37-D36</f>
        <v>0.04599523620459545</v>
      </c>
      <c r="F37" s="12">
        <f aca="true" t="shared" si="9" ref="F37:F45">E37*$B$48</f>
        <v>459.9523620459545</v>
      </c>
      <c r="G37" s="12">
        <f aca="true" t="shared" si="10" ref="G37:G45">((F37-B37)^2)/F37</f>
        <v>1292.5565972745544</v>
      </c>
    </row>
    <row r="38" spans="1:7" s="8" customFormat="1" ht="12.75">
      <c r="A38" s="40">
        <f t="shared" si="5"/>
        <v>1</v>
      </c>
      <c r="B38" s="8">
        <f t="shared" si="6"/>
        <v>1423</v>
      </c>
      <c r="C38" s="7">
        <f t="shared" si="7"/>
        <v>0.7</v>
      </c>
      <c r="D38" s="7">
        <f t="shared" si="8"/>
        <v>0.7145302932804174</v>
      </c>
      <c r="E38" s="7">
        <f aca="true" t="shared" si="11" ref="E38:E45">D38-D37</f>
        <v>0.0489984441162169</v>
      </c>
      <c r="F38" s="12">
        <f t="shared" si="9"/>
        <v>489.984441162169</v>
      </c>
      <c r="G38" s="12">
        <f t="shared" si="10"/>
        <v>1776.6238270111862</v>
      </c>
    </row>
    <row r="39" spans="1:7" s="8" customFormat="1" ht="12.75">
      <c r="A39" s="40">
        <f t="shared" si="5"/>
        <v>2</v>
      </c>
      <c r="B39" s="8">
        <f t="shared" si="6"/>
        <v>846</v>
      </c>
      <c r="C39" s="7">
        <f t="shared" si="7"/>
        <v>0.7846</v>
      </c>
      <c r="D39" s="7">
        <f t="shared" si="8"/>
        <v>0.7662637279672854</v>
      </c>
      <c r="E39" s="7">
        <f t="shared" si="11"/>
        <v>0.051733434686867974</v>
      </c>
      <c r="F39" s="12">
        <f t="shared" si="9"/>
        <v>517.3343468686797</v>
      </c>
      <c r="G39" s="12">
        <f t="shared" si="10"/>
        <v>208.8032859253736</v>
      </c>
    </row>
    <row r="40" spans="1:7" s="8" customFormat="1" ht="12.75">
      <c r="A40" s="40">
        <f t="shared" si="5"/>
        <v>4</v>
      </c>
      <c r="B40" s="8">
        <f t="shared" si="6"/>
        <v>462</v>
      </c>
      <c r="C40" s="7">
        <f t="shared" si="7"/>
        <v>0.8308</v>
      </c>
      <c r="D40" s="7">
        <f t="shared" si="8"/>
        <v>0.8199189425523621</v>
      </c>
      <c r="E40" s="7">
        <f t="shared" si="11"/>
        <v>0.053655214585076716</v>
      </c>
      <c r="F40" s="12">
        <f t="shared" si="9"/>
        <v>536.5521458507671</v>
      </c>
      <c r="G40" s="12">
        <f t="shared" si="10"/>
        <v>10.358774061263238</v>
      </c>
    </row>
    <row r="41" spans="1:7" s="8" customFormat="1" ht="12.75">
      <c r="A41" s="40">
        <f t="shared" si="5"/>
        <v>8</v>
      </c>
      <c r="B41" s="8">
        <f t="shared" si="6"/>
        <v>692</v>
      </c>
      <c r="C41" s="7">
        <f t="shared" si="7"/>
        <v>0.9</v>
      </c>
      <c r="D41" s="7">
        <f t="shared" si="8"/>
        <v>0.8736224352501146</v>
      </c>
      <c r="E41" s="7">
        <f t="shared" si="11"/>
        <v>0.05370349269775254</v>
      </c>
      <c r="F41" s="12">
        <f t="shared" si="9"/>
        <v>537.0349269775254</v>
      </c>
      <c r="G41" s="12">
        <f t="shared" si="10"/>
        <v>44.716223564851795</v>
      </c>
    </row>
    <row r="42" spans="1:7" s="8" customFormat="1" ht="12.75">
      <c r="A42" s="40">
        <f t="shared" si="5"/>
        <v>16</v>
      </c>
      <c r="B42" s="8">
        <f t="shared" si="6"/>
        <v>346</v>
      </c>
      <c r="C42" s="7">
        <f t="shared" si="7"/>
        <v>0.9346</v>
      </c>
      <c r="D42" s="7">
        <f t="shared" si="8"/>
        <v>0.9237066263912223</v>
      </c>
      <c r="E42" s="7">
        <f t="shared" si="11"/>
        <v>0.050084191141107626</v>
      </c>
      <c r="F42" s="12">
        <f t="shared" si="9"/>
        <v>500.84191141107624</v>
      </c>
      <c r="G42" s="12">
        <f t="shared" si="10"/>
        <v>47.87142805578181</v>
      </c>
    </row>
    <row r="43" spans="1:7" s="8" customFormat="1" ht="12.75">
      <c r="A43" s="40">
        <f t="shared" si="5"/>
        <v>32</v>
      </c>
      <c r="B43" s="8">
        <f t="shared" si="6"/>
        <v>346</v>
      </c>
      <c r="C43" s="7">
        <f t="shared" si="7"/>
        <v>0.9692</v>
      </c>
      <c r="D43" s="7">
        <f t="shared" si="8"/>
        <v>0.9643295445869793</v>
      </c>
      <c r="E43" s="7">
        <f t="shared" si="11"/>
        <v>0.04062291819575703</v>
      </c>
      <c r="F43" s="12">
        <f t="shared" si="9"/>
        <v>406.2291819575703</v>
      </c>
      <c r="G43" s="12">
        <f t="shared" si="10"/>
        <v>8.92982218017267</v>
      </c>
    </row>
    <row r="44" spans="1:7" s="8" customFormat="1" ht="12.75">
      <c r="A44" s="40">
        <f t="shared" si="5"/>
        <v>64</v>
      </c>
      <c r="B44" s="8">
        <f t="shared" si="6"/>
        <v>192</v>
      </c>
      <c r="C44" s="7">
        <f t="shared" si="7"/>
        <v>0.9884</v>
      </c>
      <c r="D44" s="7">
        <f t="shared" si="8"/>
        <v>0.9894263748831126</v>
      </c>
      <c r="E44" s="7">
        <f t="shared" si="11"/>
        <v>0.0250968302961333</v>
      </c>
      <c r="F44" s="12">
        <f t="shared" si="9"/>
        <v>250.968302961333</v>
      </c>
      <c r="G44" s="12">
        <f t="shared" si="10"/>
        <v>13.855378201586277</v>
      </c>
    </row>
    <row r="45" spans="1:7" s="8" customFormat="1" ht="12.75">
      <c r="A45" s="7" t="str">
        <f>A20</f>
        <v>oltre</v>
      </c>
      <c r="B45" s="8">
        <f t="shared" si="6"/>
        <v>116</v>
      </c>
      <c r="C45" s="7">
        <f t="shared" si="7"/>
        <v>1</v>
      </c>
      <c r="D45" s="7">
        <f t="shared" si="8"/>
        <v>1</v>
      </c>
      <c r="E45" s="7">
        <f t="shared" si="11"/>
        <v>0.01057362511688742</v>
      </c>
      <c r="F45" s="12">
        <f t="shared" si="9"/>
        <v>105.73625116887419</v>
      </c>
      <c r="G45" s="12">
        <f t="shared" si="10"/>
        <v>0.9962953944734416</v>
      </c>
    </row>
    <row r="46" s="8" customFormat="1" ht="12.75"/>
    <row r="47" s="8" customFormat="1" ht="12.75"/>
    <row r="48" spans="1:7" s="8" customFormat="1" ht="12.75">
      <c r="A48" s="8" t="s">
        <v>47</v>
      </c>
      <c r="B48" s="8">
        <f>SUM(B36:B45)</f>
        <v>10000</v>
      </c>
      <c r="G48" s="12">
        <f>SUM(G36:G45)</f>
        <v>3956.7621497102286</v>
      </c>
    </row>
    <row r="49" s="8" customFormat="1" ht="12.75"/>
  </sheetData>
  <sheetProtection/>
  <printOptions/>
  <pageMargins left="0.75" right="0.75" top="1" bottom="1" header="0.5" footer="0.5"/>
  <pageSetup horizontalDpi="360" verticalDpi="360" orientation="portrait" paperSize="9" r:id="rId5"/>
  <legacyDrawing r:id="rId4"/>
  <oleObjects>
    <oleObject progId="Equation.3" shapeId="259574" r:id="rId1"/>
    <oleObject progId="Equation.3" shapeId="1669014" r:id="rId2"/>
    <oleObject progId="Equation.3" shapeId="1670751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L84"/>
  <sheetViews>
    <sheetView zoomScalePageLayoutView="0" workbookViewId="0" topLeftCell="A45">
      <selection activeCell="F57" sqref="F57"/>
    </sheetView>
  </sheetViews>
  <sheetFormatPr defaultColWidth="9.140625" defaultRowHeight="12.75"/>
  <cols>
    <col min="1" max="1" width="23.28125" style="0" customWidth="1"/>
    <col min="2" max="3" width="12.140625" style="0" customWidth="1"/>
    <col min="4" max="4" width="10.7109375" style="0" customWidth="1"/>
  </cols>
  <sheetData>
    <row r="1" s="66" customFormat="1" ht="18"/>
    <row r="3" ht="12.75">
      <c r="A3" s="60" t="s">
        <v>103</v>
      </c>
    </row>
    <row r="7" spans="1:8" ht="12.75">
      <c r="A7" s="25" t="s">
        <v>28</v>
      </c>
      <c r="B7" s="25" t="s">
        <v>29</v>
      </c>
      <c r="C7" s="25" t="s">
        <v>30</v>
      </c>
      <c r="D7" s="25" t="s">
        <v>31</v>
      </c>
      <c r="E7" s="25" t="s">
        <v>32</v>
      </c>
      <c r="F7" s="25"/>
      <c r="G7" s="25"/>
      <c r="H7" s="25"/>
    </row>
    <row r="8" spans="1:8" ht="12.75">
      <c r="A8" s="25"/>
      <c r="B8" s="25" t="s">
        <v>35</v>
      </c>
      <c r="C8" s="25" t="s">
        <v>36</v>
      </c>
      <c r="D8" s="25" t="s">
        <v>6</v>
      </c>
      <c r="E8" s="25"/>
      <c r="F8" s="25" t="s">
        <v>97</v>
      </c>
      <c r="G8" s="25" t="s">
        <v>98</v>
      </c>
      <c r="H8" s="25"/>
    </row>
    <row r="9" spans="1:8" ht="12.75">
      <c r="A9" s="25"/>
      <c r="B9" s="25"/>
      <c r="C9" s="25"/>
      <c r="D9" s="25"/>
      <c r="E9" s="25"/>
      <c r="F9" s="25"/>
      <c r="G9" s="25"/>
      <c r="H9" s="25"/>
    </row>
    <row r="10" spans="1:11" ht="12.75">
      <c r="A10" s="25" t="s">
        <v>38</v>
      </c>
      <c r="B10" s="8">
        <v>0.5</v>
      </c>
      <c r="C10" s="8">
        <f>100*D10</f>
        <v>10</v>
      </c>
      <c r="D10" s="26">
        <v>0.1</v>
      </c>
      <c r="E10" s="26">
        <f>D10</f>
        <v>0.1</v>
      </c>
      <c r="F10" s="26">
        <f>B10*D10</f>
        <v>0.05</v>
      </c>
      <c r="G10" s="7">
        <f>B10^2*D10</f>
        <v>0.025</v>
      </c>
      <c r="I10" s="61" t="s">
        <v>104</v>
      </c>
      <c r="J10" s="61"/>
      <c r="K10" s="61"/>
    </row>
    <row r="11" spans="1:11" ht="12.75">
      <c r="A11" s="25" t="s">
        <v>39</v>
      </c>
      <c r="B11" s="8">
        <v>1.25</v>
      </c>
      <c r="C11" s="8">
        <f aca="true" t="shared" si="0" ref="C11:C17">100*D11</f>
        <v>50</v>
      </c>
      <c r="D11" s="26">
        <v>0.5</v>
      </c>
      <c r="E11" s="26">
        <f>E10+D11</f>
        <v>0.6</v>
      </c>
      <c r="F11" s="26">
        <f aca="true" t="shared" si="1" ref="F11:F17">B11*D11</f>
        <v>0.625</v>
      </c>
      <c r="G11" s="7">
        <f aca="true" t="shared" si="2" ref="G11:G17">B11^2*D11</f>
        <v>0.78125</v>
      </c>
      <c r="I11" s="61"/>
      <c r="J11" s="61"/>
      <c r="K11" s="61"/>
    </row>
    <row r="12" spans="1:11" ht="12.75">
      <c r="A12" s="25" t="s">
        <v>40</v>
      </c>
      <c r="B12" s="8">
        <v>1.75</v>
      </c>
      <c r="C12" s="8">
        <f t="shared" si="0"/>
        <v>20</v>
      </c>
      <c r="D12" s="26">
        <v>0.2</v>
      </c>
      <c r="E12" s="26">
        <f aca="true" t="shared" si="3" ref="E12:E17">E11+D12</f>
        <v>0.8</v>
      </c>
      <c r="F12" s="26">
        <f t="shared" si="1"/>
        <v>0.35000000000000003</v>
      </c>
      <c r="G12" s="7">
        <f t="shared" si="2"/>
        <v>0.6125</v>
      </c>
      <c r="I12" s="61" t="s">
        <v>72</v>
      </c>
      <c r="J12" s="61">
        <f>SUMPRODUCT(B10:B17,D10:D17)</f>
        <v>1.7900000000000003</v>
      </c>
      <c r="K12" s="61"/>
    </row>
    <row r="13" spans="1:11" ht="12.75">
      <c r="A13" s="25" t="s">
        <v>41</v>
      </c>
      <c r="B13" s="8">
        <v>2.25</v>
      </c>
      <c r="C13" s="8">
        <f t="shared" si="0"/>
        <v>5</v>
      </c>
      <c r="D13" s="26">
        <v>0.05</v>
      </c>
      <c r="E13" s="26">
        <f t="shared" si="3"/>
        <v>0.8500000000000001</v>
      </c>
      <c r="F13" s="26">
        <f t="shared" si="1"/>
        <v>0.1125</v>
      </c>
      <c r="G13" s="7">
        <f t="shared" si="2"/>
        <v>0.253125</v>
      </c>
      <c r="I13" s="61" t="s">
        <v>105</v>
      </c>
      <c r="J13" s="61">
        <f>SUMPRODUCT(B10:B17,B10:B17,D10:D17)</f>
        <v>5.102500000000001</v>
      </c>
      <c r="K13" s="61"/>
    </row>
    <row r="14" spans="1:11" ht="12.75">
      <c r="A14" s="25" t="s">
        <v>42</v>
      </c>
      <c r="B14" s="8">
        <v>2.75</v>
      </c>
      <c r="C14" s="8">
        <f t="shared" si="0"/>
        <v>5</v>
      </c>
      <c r="D14" s="26">
        <v>0.05</v>
      </c>
      <c r="E14" s="26">
        <f t="shared" si="3"/>
        <v>0.9000000000000001</v>
      </c>
      <c r="F14" s="26">
        <f t="shared" si="1"/>
        <v>0.1375</v>
      </c>
      <c r="G14" s="7">
        <f t="shared" si="2"/>
        <v>0.37812500000000004</v>
      </c>
      <c r="I14" s="62"/>
      <c r="J14" s="62"/>
      <c r="K14" s="62"/>
    </row>
    <row r="15" spans="1:7" ht="12.75">
      <c r="A15" s="25" t="s">
        <v>43</v>
      </c>
      <c r="B15" s="8">
        <v>3.5</v>
      </c>
      <c r="C15" s="8">
        <f t="shared" si="0"/>
        <v>5</v>
      </c>
      <c r="D15" s="26">
        <v>0.05</v>
      </c>
      <c r="E15" s="26">
        <f t="shared" si="3"/>
        <v>0.9500000000000002</v>
      </c>
      <c r="F15" s="26">
        <f t="shared" si="1"/>
        <v>0.17500000000000002</v>
      </c>
      <c r="G15" s="7">
        <f t="shared" si="2"/>
        <v>0.6125</v>
      </c>
    </row>
    <row r="16" spans="1:7" ht="12.75">
      <c r="A16" s="25" t="s">
        <v>44</v>
      </c>
      <c r="B16" s="8">
        <v>6</v>
      </c>
      <c r="C16" s="8">
        <f t="shared" si="0"/>
        <v>4</v>
      </c>
      <c r="D16" s="26">
        <v>0.04</v>
      </c>
      <c r="E16" s="26">
        <f t="shared" si="3"/>
        <v>0.9900000000000002</v>
      </c>
      <c r="F16" s="26">
        <f t="shared" si="1"/>
        <v>0.24</v>
      </c>
      <c r="G16" s="7">
        <f t="shared" si="2"/>
        <v>1.44</v>
      </c>
    </row>
    <row r="17" spans="1:7" ht="12.75">
      <c r="A17" s="25" t="s">
        <v>45</v>
      </c>
      <c r="B17" s="8">
        <v>10</v>
      </c>
      <c r="C17" s="8">
        <f t="shared" si="0"/>
        <v>1</v>
      </c>
      <c r="D17" s="26">
        <v>0.01</v>
      </c>
      <c r="E17" s="26">
        <f t="shared" si="3"/>
        <v>1.0000000000000002</v>
      </c>
      <c r="F17" s="26">
        <f t="shared" si="1"/>
        <v>0.1</v>
      </c>
      <c r="G17" s="7">
        <f t="shared" si="2"/>
        <v>1</v>
      </c>
    </row>
    <row r="18" spans="1:7" s="8" customFormat="1" ht="12.75">
      <c r="A18" s="25" t="s">
        <v>47</v>
      </c>
      <c r="C18" s="8">
        <f>SUM(C10:C17)</f>
        <v>100</v>
      </c>
      <c r="D18" s="26">
        <f>SUM(D10:D17)</f>
        <v>1.0000000000000002</v>
      </c>
      <c r="F18" s="26">
        <f>SUM(F10:F17)</f>
        <v>1.7900000000000003</v>
      </c>
      <c r="G18" s="7">
        <f>SUM(G10:G17)</f>
        <v>5.102500000000001</v>
      </c>
    </row>
    <row r="20" spans="1:2" ht="12.75">
      <c r="A20" s="63" t="s">
        <v>91</v>
      </c>
      <c r="B20" s="8">
        <f>C18</f>
        <v>100</v>
      </c>
    </row>
    <row r="21" spans="1:2" ht="12.75">
      <c r="A21" s="8" t="s">
        <v>72</v>
      </c>
      <c r="B21" s="7">
        <f>F18</f>
        <v>1.7900000000000003</v>
      </c>
    </row>
    <row r="22" spans="1:2" ht="12.75">
      <c r="A22" s="8" t="s">
        <v>99</v>
      </c>
      <c r="B22" s="7">
        <f>G18</f>
        <v>5.102500000000001</v>
      </c>
    </row>
    <row r="23" spans="1:2" ht="12.75">
      <c r="A23" s="8" t="s">
        <v>73</v>
      </c>
      <c r="B23" s="7">
        <f>B22-B21^2</f>
        <v>1.8984</v>
      </c>
    </row>
    <row r="24" spans="1:2" ht="12.75">
      <c r="A24" s="8" t="s">
        <v>100</v>
      </c>
      <c r="B24" s="7">
        <f>SQRT(B23)</f>
        <v>1.377824371971987</v>
      </c>
    </row>
    <row r="25" spans="1:2" ht="12.75">
      <c r="A25" s="8" t="s">
        <v>101</v>
      </c>
      <c r="B25" s="7">
        <f>B20*B21</f>
        <v>179.00000000000003</v>
      </c>
    </row>
    <row r="26" spans="1:2" ht="12.75">
      <c r="A26" s="8" t="s">
        <v>102</v>
      </c>
      <c r="B26" s="7">
        <f>B22*B20</f>
        <v>510.2500000000001</v>
      </c>
    </row>
    <row r="28" spans="1:3" ht="12.75">
      <c r="A28" s="33"/>
      <c r="B28" s="3"/>
      <c r="C28" s="3"/>
    </row>
    <row r="29" spans="1:4" ht="18">
      <c r="A29" s="64" t="s">
        <v>106</v>
      </c>
      <c r="B29" s="3"/>
      <c r="C29" s="3"/>
      <c r="D29" s="3"/>
    </row>
    <row r="30" spans="1:4" ht="12.75">
      <c r="A30" s="33"/>
      <c r="B30" s="3"/>
      <c r="C30" s="3"/>
      <c r="D30" s="3"/>
    </row>
    <row r="31" spans="1:4" ht="12.75">
      <c r="A31" s="65" t="s">
        <v>2</v>
      </c>
      <c r="B31" s="5" t="s">
        <v>68</v>
      </c>
      <c r="C31" s="3"/>
      <c r="D31" s="3"/>
    </row>
    <row r="32" spans="1:5" ht="12.75">
      <c r="A32" s="33">
        <v>0.5</v>
      </c>
      <c r="B32" s="11">
        <v>10</v>
      </c>
      <c r="C32" s="3"/>
      <c r="D32" s="3"/>
      <c r="E32" s="3"/>
    </row>
    <row r="33" spans="1:4" ht="12.75">
      <c r="A33" s="33">
        <v>1.25</v>
      </c>
      <c r="B33" s="11">
        <v>50</v>
      </c>
      <c r="C33" s="3"/>
      <c r="D33" s="3"/>
    </row>
    <row r="34" spans="1:4" ht="12.75">
      <c r="A34" s="33">
        <v>1.75</v>
      </c>
      <c r="B34" s="11">
        <v>20</v>
      </c>
      <c r="C34" s="3"/>
      <c r="D34" s="3"/>
    </row>
    <row r="35" spans="1:4" ht="12.75">
      <c r="A35" s="33">
        <v>2.25</v>
      </c>
      <c r="B35" s="11">
        <v>5</v>
      </c>
      <c r="C35" s="3"/>
      <c r="D35" s="3"/>
    </row>
    <row r="36" spans="1:4" ht="12.75">
      <c r="A36" s="33">
        <v>2.75</v>
      </c>
      <c r="B36" s="11">
        <v>5</v>
      </c>
      <c r="C36" s="3"/>
      <c r="D36" s="3"/>
    </row>
    <row r="37" spans="1:4" ht="12.75">
      <c r="A37" s="33">
        <v>3.5</v>
      </c>
      <c r="B37" s="11">
        <v>5</v>
      </c>
      <c r="C37" s="3"/>
      <c r="D37" s="3"/>
    </row>
    <row r="38" spans="1:4" ht="12.75">
      <c r="A38" s="33">
        <v>6</v>
      </c>
      <c r="B38" s="11">
        <v>4</v>
      </c>
      <c r="C38" s="3"/>
      <c r="D38" s="3"/>
    </row>
    <row r="39" spans="1:4" ht="12.75">
      <c r="A39" s="33">
        <v>10</v>
      </c>
      <c r="B39" s="11">
        <v>1</v>
      </c>
      <c r="C39" s="3"/>
      <c r="D39" s="3"/>
    </row>
    <row r="40" spans="1:4" ht="12.75">
      <c r="A40" s="33"/>
      <c r="B40" s="3"/>
      <c r="C40" s="3"/>
      <c r="D40" s="3"/>
    </row>
    <row r="41" spans="1:4" ht="12.75">
      <c r="A41" s="33"/>
      <c r="B41" s="3"/>
      <c r="C41" s="3"/>
      <c r="D41" s="3"/>
    </row>
    <row r="42" spans="1:4" ht="12.75">
      <c r="A42" s="33"/>
      <c r="B42" s="3"/>
      <c r="C42" s="3"/>
      <c r="D42" s="3"/>
    </row>
    <row r="43" spans="1:4" ht="12.75">
      <c r="A43" s="65" t="s">
        <v>2</v>
      </c>
      <c r="B43" s="5" t="s">
        <v>32</v>
      </c>
      <c r="C43" s="3"/>
      <c r="D43" s="3"/>
    </row>
    <row r="44" spans="1:4" ht="12.75">
      <c r="A44" s="33">
        <v>0.5</v>
      </c>
      <c r="B44" s="3">
        <v>0.1</v>
      </c>
      <c r="C44" s="3"/>
      <c r="D44" s="3"/>
    </row>
    <row r="45" spans="1:4" ht="12.75">
      <c r="A45" s="33">
        <v>1.25</v>
      </c>
      <c r="B45" s="3">
        <v>0.6</v>
      </c>
      <c r="C45" s="3"/>
      <c r="D45" s="3"/>
    </row>
    <row r="46" spans="1:4" ht="12.75">
      <c r="A46" s="33">
        <v>1.75</v>
      </c>
      <c r="B46" s="3">
        <v>0.8</v>
      </c>
      <c r="C46" s="3"/>
      <c r="D46" s="3"/>
    </row>
    <row r="47" spans="1:4" ht="12.75">
      <c r="A47" s="33">
        <v>2.25</v>
      </c>
      <c r="B47" s="3">
        <v>0.85</v>
      </c>
      <c r="C47" s="3"/>
      <c r="D47" s="3"/>
    </row>
    <row r="48" spans="1:4" ht="12.75">
      <c r="A48" s="33">
        <v>2.75</v>
      </c>
      <c r="B48" s="3">
        <v>0.9</v>
      </c>
      <c r="C48" s="3"/>
      <c r="D48" s="3"/>
    </row>
    <row r="49" spans="1:4" ht="12.75">
      <c r="A49" s="33">
        <v>3.5</v>
      </c>
      <c r="B49">
        <v>0.95</v>
      </c>
      <c r="D49" s="3"/>
    </row>
    <row r="50" spans="1:2" ht="12.75">
      <c r="A50" s="33">
        <v>6</v>
      </c>
      <c r="B50">
        <v>0.99</v>
      </c>
    </row>
    <row r="51" spans="1:2" ht="12.75">
      <c r="A51" s="33">
        <v>10</v>
      </c>
      <c r="B51">
        <v>1</v>
      </c>
    </row>
    <row r="54" spans="1:2" ht="12.75">
      <c r="A54" s="33" t="s">
        <v>2</v>
      </c>
      <c r="B54" s="3" t="s">
        <v>32</v>
      </c>
    </row>
    <row r="55" spans="1:2" ht="12.75">
      <c r="A55" s="26">
        <v>0.5</v>
      </c>
      <c r="B55" s="7">
        <f>0.1</f>
        <v>0.1</v>
      </c>
    </row>
    <row r="56" spans="1:2" ht="12.75">
      <c r="A56" s="33">
        <v>1.25</v>
      </c>
      <c r="B56" s="3">
        <v>0.15</v>
      </c>
    </row>
    <row r="57" spans="1:2" ht="12.75">
      <c r="A57" s="33">
        <v>1.25</v>
      </c>
      <c r="B57" s="3">
        <v>0.2</v>
      </c>
    </row>
    <row r="58" spans="1:2" ht="12.75">
      <c r="A58" s="33">
        <v>1.25</v>
      </c>
      <c r="B58" s="3">
        <v>0.25</v>
      </c>
    </row>
    <row r="59" spans="1:2" ht="12.75">
      <c r="A59" s="33">
        <v>1.25</v>
      </c>
      <c r="B59" s="3">
        <v>0.3</v>
      </c>
    </row>
    <row r="60" spans="1:3" ht="12.75">
      <c r="A60" s="33">
        <v>1.25</v>
      </c>
      <c r="B60" s="3">
        <v>0.35</v>
      </c>
      <c r="C60" s="33"/>
    </row>
    <row r="61" spans="1:3" ht="12.75">
      <c r="A61" s="33">
        <v>1.25</v>
      </c>
      <c r="B61" s="3">
        <v>0.4</v>
      </c>
      <c r="C61" s="33"/>
    </row>
    <row r="62" spans="1:3" ht="12.75">
      <c r="A62" s="33">
        <v>1.25</v>
      </c>
      <c r="B62" s="3">
        <v>0.45</v>
      </c>
      <c r="C62" s="33"/>
    </row>
    <row r="63" spans="1:3" ht="12.75">
      <c r="A63" s="33">
        <v>1.25</v>
      </c>
      <c r="B63" s="3">
        <v>0.5</v>
      </c>
      <c r="C63" s="33"/>
    </row>
    <row r="64" spans="1:3" ht="12.75">
      <c r="A64" s="33">
        <v>1.25</v>
      </c>
      <c r="B64" s="3">
        <v>0.55</v>
      </c>
      <c r="C64" s="33"/>
    </row>
    <row r="65" spans="1:3" ht="12.75">
      <c r="A65" s="26">
        <v>1.25</v>
      </c>
      <c r="B65" s="7">
        <v>0.6</v>
      </c>
      <c r="C65" s="33"/>
    </row>
    <row r="66" spans="1:3" ht="12.75">
      <c r="A66" s="33">
        <v>1.75</v>
      </c>
      <c r="B66" s="3">
        <v>0.65</v>
      </c>
      <c r="C66" s="33"/>
    </row>
    <row r="67" spans="1:3" ht="12.75">
      <c r="A67" s="33">
        <v>1.75</v>
      </c>
      <c r="B67" s="3">
        <v>0.7</v>
      </c>
      <c r="C67" s="33"/>
    </row>
    <row r="68" spans="1:3" ht="12.75">
      <c r="A68" s="33">
        <v>1.75</v>
      </c>
      <c r="B68" s="3">
        <v>0.75</v>
      </c>
      <c r="C68" s="33"/>
    </row>
    <row r="69" spans="1:3" ht="12.75">
      <c r="A69" s="26">
        <v>1.75</v>
      </c>
      <c r="B69" s="7">
        <v>0.8</v>
      </c>
      <c r="C69" s="33"/>
    </row>
    <row r="70" spans="1:3" ht="12.75">
      <c r="A70" s="33">
        <v>2.25</v>
      </c>
      <c r="B70" s="3">
        <v>0.85</v>
      </c>
      <c r="C70" s="33"/>
    </row>
    <row r="71" spans="1:3" ht="12.75">
      <c r="A71" s="26">
        <v>2.75</v>
      </c>
      <c r="B71" s="7">
        <v>0.9</v>
      </c>
      <c r="C71" s="33"/>
    </row>
    <row r="72" spans="1:12" ht="12.75">
      <c r="A72" s="26">
        <v>3.5</v>
      </c>
      <c r="B72" s="7">
        <v>0.95</v>
      </c>
      <c r="C72" s="33"/>
      <c r="L72" s="67"/>
    </row>
    <row r="73" spans="1:3" ht="12.75">
      <c r="A73" s="26">
        <v>6</v>
      </c>
      <c r="B73" s="7">
        <v>0.99</v>
      </c>
      <c r="C73" s="33"/>
    </row>
    <row r="74" spans="1:10" ht="12.75">
      <c r="A74" s="33"/>
      <c r="B74" s="3"/>
      <c r="C74" s="33"/>
      <c r="D74" s="34"/>
      <c r="E74" s="33"/>
      <c r="F74" s="33"/>
      <c r="G74" s="33"/>
      <c r="H74" s="33"/>
      <c r="I74" s="33"/>
      <c r="J74" s="33"/>
    </row>
    <row r="75" spans="1:5" ht="12.75">
      <c r="A75" s="33"/>
      <c r="B75" s="3"/>
      <c r="C75" s="33"/>
      <c r="D75" s="34"/>
      <c r="E75" s="33"/>
    </row>
    <row r="76" spans="1:5" ht="12.75">
      <c r="A76" s="33"/>
      <c r="B76" s="3"/>
      <c r="C76" s="33"/>
      <c r="D76" s="34"/>
      <c r="E76" s="33"/>
    </row>
    <row r="77" spans="1:5" ht="12.75">
      <c r="A77" s="33"/>
      <c r="B77" s="3"/>
      <c r="C77" s="33"/>
      <c r="D77" s="34"/>
      <c r="E77" s="33"/>
    </row>
    <row r="78" spans="1:3" ht="12.75">
      <c r="A78" s="33"/>
      <c r="B78" s="3"/>
      <c r="C78" s="33"/>
    </row>
    <row r="79" spans="1:3" ht="12.75">
      <c r="A79" s="33"/>
      <c r="B79" s="3"/>
      <c r="C79" s="33"/>
    </row>
    <row r="80" spans="1:5" ht="12.75">
      <c r="A80" s="33"/>
      <c r="B80" s="3"/>
      <c r="C80" s="33"/>
      <c r="E80" s="34"/>
    </row>
    <row r="81" spans="1:5" ht="12.75">
      <c r="A81" s="33"/>
      <c r="B81" s="3"/>
      <c r="C81" s="33"/>
      <c r="E81" s="34"/>
    </row>
    <row r="82" spans="1:3" ht="12.75">
      <c r="A82" s="33"/>
      <c r="B82" s="3"/>
      <c r="C82" s="33"/>
    </row>
    <row r="83" spans="1:3" ht="12.75">
      <c r="A83" s="33"/>
      <c r="B83" s="3"/>
      <c r="C83" s="33"/>
    </row>
    <row r="84" spans="1:3" ht="12.75">
      <c r="A84" s="33"/>
      <c r="B84" s="3"/>
      <c r="C84" s="33"/>
    </row>
  </sheetData>
  <sheetProtection/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14817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Serectrix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Ferrara</dc:creator>
  <cp:keywords/>
  <dc:description/>
  <cp:lastModifiedBy>User</cp:lastModifiedBy>
  <dcterms:created xsi:type="dcterms:W3CDTF">2012-10-05T10:13:15Z</dcterms:created>
  <dcterms:modified xsi:type="dcterms:W3CDTF">2012-10-22T16:04:38Z</dcterms:modified>
  <cp:category/>
  <cp:version/>
  <cp:contentType/>
  <cp:contentStatus/>
</cp:coreProperties>
</file>